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datki" sheetId="1" r:id="rId1"/>
    <sheet name="inwestycje" sheetId="2" r:id="rId2"/>
    <sheet name="wynagrodzenia" sheetId="3" r:id="rId3"/>
    <sheet name="dotacje" sheetId="4" r:id="rId4"/>
  </sheets>
  <definedNames>
    <definedName name="_xlnm._FilterDatabase" localSheetId="3" hidden="1">'dotacje'!$A$6:$E$350</definedName>
    <definedName name="_xlnm.Print_Area" localSheetId="0">'wydatki'!$A$1:$K$624</definedName>
  </definedNames>
  <calcPr fullCalcOnLoad="1"/>
</workbook>
</file>

<file path=xl/comments1.xml><?xml version="1.0" encoding="utf-8"?>
<comments xmlns="http://schemas.openxmlformats.org/spreadsheetml/2006/main">
  <authors>
    <author>UM GOLINA</author>
    <author>Oliwer</author>
  </authors>
  <commentList>
    <comment ref="H18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18sołtysów*4kwartały*600zł za kw-ł=43200 
44.800 - za pobór podatków 8% - uwzgl. wzrost podatków</t>
        </r>
      </text>
    </comment>
    <comment ref="C46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1000 - zakup sadzonek dla pszczelarzy</t>
        </r>
      </text>
    </comment>
    <comment ref="C490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opłaty za korzystanie ze środowiska</t>
        </r>
      </text>
    </comment>
    <comment ref="C463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samochód dla ZGKiM - zał. 7</t>
        </r>
      </text>
    </comment>
    <comment ref="C46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samochód dla ZGKiM - zał. 7</t>
        </r>
      </text>
    </comment>
    <comment ref="H52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OSP Przyjma 550.000</t>
        </r>
      </text>
    </comment>
    <comment ref="H49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wiaty przystankowe-20.000</t>
        </r>
      </text>
    </comment>
    <comment ref="H52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200.000-trybuny
500.000-hala widoiwskowa</t>
        </r>
      </text>
    </comment>
    <comment ref="C194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0,1%&lt; rezerwa ogólna&lt;1% wydatków  
mogą być inne rezerwy (na UE lub nieokreślone wydatki)
suma tych rezerw (ogólna i celowe-nie kryzysowa &lt; 5% 
NIE WOLNO BRAĆ Z REZERW NA WYNAGRODZENIA !!!!! </t>
        </r>
      </text>
    </comment>
    <comment ref="C18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prowizja za udzielenie kredytu</t>
        </r>
      </text>
    </comment>
    <comment ref="G177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pompa szlamowa</t>
        </r>
      </text>
    </comment>
    <comment ref="D49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Plac Kazimierza 2x</t>
        </r>
      </text>
    </comment>
    <comment ref="C13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CZŁONKOWSKA-4.269;
JRP-27.753,80</t>
        </r>
      </text>
    </comment>
    <comment ref="C19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ZMWiK-inwestycja - 5.124</t>
        </r>
      </text>
    </comment>
    <comment ref="H18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od krótkoterminowego</t>
        </r>
      </text>
    </comment>
    <comment ref="H390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144.109-dotacja;
70.000-nasze
zawsze naszych było 100</t>
        </r>
      </text>
    </comment>
    <comment ref="H48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składka JRP-10.500;
członkowska 2,30 od mieszkańca</t>
        </r>
      </text>
    </comment>
    <comment ref="H42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na dożywianie - własne-35.000 (28%)- wg Porozumienia;
na prace społ.użyt.-7.000 URZĘDU środki</t>
        </r>
      </text>
    </comment>
    <comment ref="C17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rezerwa na zarządzanie kryzysowe:
minimum 0,5% od wydatków ogółem pomniejszonych o inwestycyjne, wynagrodzenia i narzuty i obsługę długu
W budżecie j.s.t. tworzy się rezerwę celową na realizację zadań własnych z zakresu zarządzania kryzysowego w wysokości nie mniejszej niż 0,5% wydatków budżetu j.s.t., pomniejszonych o wydatki inwestycyjne, wydatki na wynagrodzenia i pochodne oraz wydatki na obsługę długu. 
(art. 26 ust. 4 ustawy o zarządzaniu kryzysowym – po zmianach)
 Zgodnie z art. 2 ust. 6 ustawy z dnia 17.07.2009r. o zmianie ustawy o zarządzaniu kryzysowym, przepis art. 26 ust. 4  w ww. brzmieniu ma zastosowanie po raz pierwszy do opracowania budżetów j.s.t. na 2011 rok</t>
        </r>
      </text>
    </comment>
    <comment ref="C39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p.Kalińska-decyzje</t>
        </r>
      </text>
    </comment>
    <comment ref="C34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śr.własne 20% tj. 160 zł na komisje kwalifikacyjne</t>
        </r>
      </text>
    </comment>
    <comment ref="C157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ubezpieczenia samochodów</t>
        </r>
      </text>
    </comment>
    <comment ref="H45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KRK-inwestycja</t>
        </r>
      </text>
    </comment>
    <comment ref="C47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231900 nasz udział 2011-40%=92.760
2012 60%=139.400</t>
        </r>
      </text>
    </comment>
    <comment ref="I18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18sołtysów*4kwartały*600zł za kw-ł=43200 
44.800 - za pobór podatków 8% - uwzgl. wzrost podatków</t>
        </r>
      </text>
    </comment>
    <comment ref="I18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od krótkoterminowego</t>
        </r>
      </text>
    </comment>
    <comment ref="I390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144.109-dotacja;
70.000-nasze
zawsze naszych było 100</t>
        </r>
      </text>
    </comment>
    <comment ref="I42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na dożywianie - własne-35.000 (28%)- wg Porozumienia;
na prace społ.użyt.-7.000 URZĘDU środki</t>
        </r>
      </text>
    </comment>
    <comment ref="I45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KRK-inwestycja</t>
        </r>
      </text>
    </comment>
    <comment ref="I48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składka JRP-10.500;
członkowska 2,30 od mieszkańca</t>
        </r>
      </text>
    </comment>
    <comment ref="I49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wiaty przystankowe-20.000</t>
        </r>
      </text>
    </comment>
    <comment ref="I52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OSP Przyjma 550.000</t>
        </r>
      </text>
    </comment>
    <comment ref="I52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200.000-trybuny
500.000-hala widoiwskowa</t>
        </r>
      </text>
    </comment>
    <comment ref="C559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dodatki spisowe</t>
        </r>
      </text>
    </comment>
    <comment ref="C167" authorId="1">
      <text>
        <r>
          <rPr>
            <b/>
            <sz val="8"/>
            <rFont val="Tahoma"/>
            <family val="2"/>
          </rPr>
          <t>Oliwer:</t>
        </r>
        <r>
          <rPr>
            <sz val="8"/>
            <rFont val="Tahoma"/>
            <family val="2"/>
          </rPr>
          <t xml:space="preserve">
było 150.000 na przetarg na pomiary prędkości</t>
        </r>
      </text>
    </comment>
    <comment ref="C175" authorId="1">
      <text>
        <r>
          <rPr>
            <b/>
            <sz val="8"/>
            <rFont val="Tahoma"/>
            <family val="2"/>
          </rPr>
          <t>Oliwer:</t>
        </r>
        <r>
          <rPr>
            <sz val="8"/>
            <rFont val="Tahoma"/>
            <family val="2"/>
          </rPr>
          <t xml:space="preserve">
było 150.000 na przetarg na pomiary prędkości</t>
        </r>
      </text>
    </comment>
    <comment ref="K18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18sołtysów*4kwartały*600zł za kw-ł=43200 
44.800 - za pobór podatków 8% - uwzgl. wzrost podatków</t>
        </r>
      </text>
    </comment>
    <comment ref="K18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od krótkoterminowego</t>
        </r>
      </text>
    </comment>
    <comment ref="K390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144.109-dotacja;
70.000-nasze
zawsze naszych było 100</t>
        </r>
      </text>
    </comment>
    <comment ref="K42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na dożywianie - własne-35.000 (28%)- wg Porozumienia;
na prace społ.użyt.-7.000 URZĘDU środki</t>
        </r>
      </text>
    </comment>
    <comment ref="K45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KRK-inwestycja</t>
        </r>
      </text>
    </comment>
    <comment ref="K48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składka JRP-10.500;
członkowska 2,30 od mieszkańca</t>
        </r>
      </text>
    </comment>
    <comment ref="K49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wiaty przystankowe-20.000</t>
        </r>
      </text>
    </comment>
    <comment ref="K52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OSP Przyjma 550.000</t>
        </r>
      </text>
    </comment>
    <comment ref="K52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200.000-trybuny
500.000-hala widoiwskowa</t>
        </r>
      </text>
    </comment>
  </commentList>
</comments>
</file>

<file path=xl/sharedStrings.xml><?xml version="1.0" encoding="utf-8"?>
<sst xmlns="http://schemas.openxmlformats.org/spreadsheetml/2006/main" count="1899" uniqueCount="198">
  <si>
    <t>Rozdz</t>
  </si>
  <si>
    <t>§</t>
  </si>
  <si>
    <t>Nazwa</t>
  </si>
  <si>
    <t>ZADANIA WŁASNE</t>
  </si>
  <si>
    <t>010</t>
  </si>
  <si>
    <t>Rolnictwo i łowiectwo</t>
  </si>
  <si>
    <t>01010</t>
  </si>
  <si>
    <t>Infrastruktura wodociągowa i sanitacyjna wsi</t>
  </si>
  <si>
    <t xml:space="preserve">Wpłaty gmin i powiatów na rzecz innych jednostek samorządu terytorialnego oraz związków gmin lub związków powiatów na dofinansowanie zadań inwestycyjnych i zakupów inwestycyjnych </t>
  </si>
  <si>
    <t>01030</t>
  </si>
  <si>
    <t>Izby rolnicze</t>
  </si>
  <si>
    <t>Wpłaty gmin na rzecz izb rolniczych w wysokości 2 % uzyskanych wpływów z podatku rolnego</t>
  </si>
  <si>
    <t>01095</t>
  </si>
  <si>
    <t>Pozostała działalność</t>
  </si>
  <si>
    <t>Zakup materiałów i wyposażenia</t>
  </si>
  <si>
    <t>Zakup usług pozostałych</t>
  </si>
  <si>
    <t>Różne opłaty i składki</t>
  </si>
  <si>
    <t>Handel</t>
  </si>
  <si>
    <t>Transport i łączność</t>
  </si>
  <si>
    <t>Lokalny Transport zbiorowy</t>
  </si>
  <si>
    <t>Dotacje celowe przekazane gminie lub miastu stołecznemu Warszawie na zadania bieżące realizowane na podstawie porozumień (umów) między jednostkami samorządu terytorialnego</t>
  </si>
  <si>
    <t>Drogi publiczne powiatowe</t>
  </si>
  <si>
    <t>Wydatki na pomoc finansową udzielaną między jednostkami samorządu terytorialnego na dofinansowanie własnych zadań bieżących</t>
  </si>
  <si>
    <t>Drogi publiczne gminne</t>
  </si>
  <si>
    <t>Zakup usług remontowych</t>
  </si>
  <si>
    <t>Kary i odszkodowania wypłacane na rzecz osób fizycznych</t>
  </si>
  <si>
    <t>Wydatki inwestycyjne jednostek budżetowych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</si>
  <si>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</si>
  <si>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</si>
  <si>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</si>
  <si>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</si>
  <si>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 (nieinwestycyjne)</t>
  </si>
  <si>
    <t>Administracja publiczna</t>
  </si>
  <si>
    <t>Rady gmin (miast i miast na prawach powiatu)</t>
  </si>
  <si>
    <t>Różne wydatki na rzecz osób fizycznych</t>
  </si>
  <si>
    <t>Urzędy gmin (miast i miast na prawach powiatu)</t>
  </si>
  <si>
    <t>Nagrody i 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</si>
  <si>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</si>
  <si>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</si>
  <si>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</si>
  <si>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</si>
  <si>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</si>
  <si>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</si>
  <si>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energii</t>
  </si>
  <si>
    <t>Zakup usług zdrowotnych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</si>
  <si>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</si>
  <si>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</si>
  <si>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</si>
  <si>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</si>
  <si>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Podróże służbowe zagraniczne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</si>
  <si>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</si>
  <si>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</si>
  <si>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</si>
  <si>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</si>
  <si>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</si>
  <si>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Zakup usług dostępu do sieci Internet</t>
  </si>
  <si>
    <t>Opłaty za administrowanie i czynsze za budynki, lokale i pomieszczenia garażowe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</si>
  <si>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</si>
  <si>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</si>
  <si>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</si>
  <si>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Zakup sprzętu i uzbrojenia</t>
  </si>
  <si>
    <t>Wydatki na zakupy inwestycyjne jednostek budżetowych</t>
  </si>
  <si>
    <t>Zarządzanie kryzysowe</t>
  </si>
  <si>
    <t>Rezerwy ogólne i celowe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</si>
  <si>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</si>
  <si>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</si>
  <si>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</si>
  <si>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</si>
  <si>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</si>
  <si>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</si>
  <si>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Różne rozliczenia</t>
  </si>
  <si>
    <t>Oświata i wychowanie</t>
  </si>
  <si>
    <t>Szkoły podstawowe</t>
  </si>
  <si>
    <t>Nagrody i wydatki osobowe nie zaliczone do wynagrodzeń</t>
  </si>
  <si>
    <t>Zakup pomocy  naukowych, dydaktycznych i książek</t>
  </si>
  <si>
    <t>Oddziały przedszkolne w szkołach podstawowych</t>
  </si>
  <si>
    <t>Pomoce naukowe, dydaktyczne, książki</t>
  </si>
  <si>
    <t>Przedszkola</t>
  </si>
  <si>
    <t>Zakup środków żywności</t>
  </si>
  <si>
    <t>Zakup usług obejmujących wykonanie ekspertyz, analiz i opinii</t>
  </si>
  <si>
    <t>Gimnazja</t>
  </si>
  <si>
    <t>Dowożenie uczniów do szkół</t>
  </si>
  <si>
    <t>Zespoły obsługi ekonomiczno-administracyjne szkół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</si>
  <si>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</si>
  <si>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</si>
  <si>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</si>
  <si>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</si>
  <si>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</si>
  <si>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Pomoc społeczna</t>
  </si>
  <si>
    <t>Domy pomocy społecznej</t>
  </si>
  <si>
    <t xml:space="preserve">Zasiłki i pomoc w naturze oraz składki na ubezpieczenia społeczne </t>
  </si>
  <si>
    <t>Świadczenia społeczne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</si>
  <si>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</si>
  <si>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</si>
  <si>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</si>
  <si>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</si>
  <si>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</si>
  <si>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odpadami</t>
  </si>
  <si>
    <t>Oczyszczanie miast i wsi</t>
  </si>
  <si>
    <t>Utrzymanie zieleni w miastach i gminach</t>
  </si>
  <si>
    <t>Oświetlenie ulic, placów i dróg</t>
  </si>
  <si>
    <t>Zakłady gospodarki komunalnej</t>
  </si>
  <si>
    <t>Dotacje celowe z budżetu na finansowanie lub dofinansowanie kosztów realizacji inwestycji i zakupów inwestycyjnych zakładów budżetowych</t>
  </si>
  <si>
    <t xml:space="preserve">Wpłaty gmin i powiatów na rzecz innych jednostek samorządu terytorialnego oraz związków gmin lub związków powiatów na dofinansowanie zadań bieżących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</si>
  <si>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</si>
  <si>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</si>
  <si>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</si>
  <si>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</si>
  <si>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</si>
  <si>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Obiekty sportowe</t>
  </si>
  <si>
    <t>Zadania w zakresie kultury fizycznej i sportu</t>
  </si>
  <si>
    <t>Dotacje celowe z budżetu na finansowanie lub dofinansowanie zadań zleconych</t>
  </si>
  <si>
    <t>ZADANIA ZLECONE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</si>
  <si>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</si>
  <si>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</si>
  <si>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</si>
  <si>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</si>
  <si>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</si>
  <si>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Składki na ubezpieczenia zdrowotne</t>
  </si>
  <si>
    <t>Zasiłki i pomoc w naturze oraz składki na ubezpieczenia społeczne</t>
  </si>
  <si>
    <t>Razem wydatki</t>
  </si>
  <si>
    <t>Plan na rok 2009</t>
  </si>
  <si>
    <t>Zakup usług przez jednostki samorządu terytorialnego od innych jednostek samorządu terytorialnego</t>
  </si>
  <si>
    <t>Plan wydatków budżetowych na rok 2009</t>
  </si>
  <si>
    <t>Załącznik Nr 2 do Uchwały Rady Miejskiej w Golinie Nr  ………./……./2008 z dnia ………….. 2008 roku</t>
  </si>
  <si>
    <t>Gospodarka ściekowa i ochrona wód</t>
  </si>
  <si>
    <t>Komendy wojewódzkie Policji</t>
  </si>
  <si>
    <t>Wpłaty jednostek na fundusz celowy na finansowanie lub dofinansowanie zadań inwestycyjnych</t>
  </si>
  <si>
    <t xml:space="preserve">                                                                                       Przewodniczący Rady Miejskiej </t>
  </si>
  <si>
    <t xml:space="preserve">                                                                                                 Lech Kwiatkowski</t>
  </si>
  <si>
    <t xml:space="preserve">                                                                                      ...........................................</t>
  </si>
  <si>
    <t xml:space="preserve">                                                                                                       ( podpis)</t>
  </si>
  <si>
    <t>Ochrona zabytków i opieka nad zabytkami</t>
  </si>
  <si>
    <t>Rezerwy</t>
  </si>
  <si>
    <t>do wynagrodzeń wchodzą paragrafy:</t>
  </si>
  <si>
    <t>4010 do 4070</t>
  </si>
  <si>
    <t>nie-4140 PFRON</t>
  </si>
  <si>
    <t>kopia z wydatków, wykasowane wszystko prócz wynagrodzeń.</t>
  </si>
  <si>
    <t>Drogi publiczne wojewódzkie</t>
  </si>
  <si>
    <t>Koszty postępowania sądowego i prokuratorskiego</t>
  </si>
  <si>
    <t>Pozostałe odsetki</t>
  </si>
  <si>
    <t>autopoprawki</t>
  </si>
  <si>
    <t>Wypłaty z tytułu gwarancji i poręczeń</t>
  </si>
  <si>
    <t>Rozliczenia z tytułu poręczeń i gwarancji udzielonych przez Skarb Państwa lub jednostkę samorządu terytorialnego</t>
  </si>
  <si>
    <t>Zakup usług remontowo-konserwatorskich, dotyczących obiektów zabytkowych będących w użytkowaniu jednostek budżetowych</t>
  </si>
  <si>
    <t>Dotacja celowa na pomoc finansową udzielaną między jednostkami samorządu terytorialnego na dofinansowanie własnych zadań inwestycyjnych i zakupów inwestycyjnych</t>
  </si>
  <si>
    <t>Pomoc materialna dla uczniów</t>
  </si>
  <si>
    <t>Stypendia dla uczniów</t>
  </si>
  <si>
    <t>Wybory do Parlamentu Europejskiego</t>
  </si>
  <si>
    <t>razem</t>
  </si>
  <si>
    <t>Schroniska dla zwierząt</t>
  </si>
  <si>
    <t>Turystyka</t>
  </si>
  <si>
    <t>Dotacje celowe z budżetu na finansowanie lub dofinansowanie kosztów realizacji inwestycji i zakupów inwestycyjnych innych jednostek sektora finansów publicznych</t>
  </si>
  <si>
    <t>Inne formy pomocy dla uczniów</t>
  </si>
  <si>
    <t>Rozliczenia z bankami związane z obsługą długu publicznego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</si>
  <si>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</si>
  <si>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</si>
  <si>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Zadania w zakresie przeciwdziałania przemocy w rodzinie</t>
  </si>
  <si>
    <t>Zasiłki i pomoc w naturze oraz składki na ubezpieczenia emerytalne i rentowe</t>
  </si>
  <si>
    <t>Zasiłki stałe</t>
  </si>
  <si>
    <t>Plan na 30.09.2010</t>
  </si>
  <si>
    <t>wykon.2009</t>
  </si>
  <si>
    <t>wykon. 30.09.2010</t>
  </si>
  <si>
    <t>przewid.wyk. 31.12.2010</t>
  </si>
  <si>
    <t>Plan na rok 2011</t>
  </si>
  <si>
    <t>Usuwanie skutków klęsk żywiołowych</t>
  </si>
  <si>
    <t>Spis powszechny i inne</t>
  </si>
  <si>
    <t>Nagrody o charakterze szczególnym nizaliczone do wynagrodzeń</t>
  </si>
  <si>
    <t>Wybory Prezydenta Rzeczypospolitej Polskiej</t>
  </si>
  <si>
    <t>Dotacje celowe z budżetu na finansowanie lub dofinansowanie kosztów realizacji inwestycji i zakupów inwestycyjnych jednostek nie zaliczanych do sektora finansów publicznych</t>
  </si>
  <si>
    <t>Odsetki od samorządowych papierów wartościowych lub zaciągniętych przez jednostkę samorządu terytorialnego kredytów i pożyczek</t>
  </si>
  <si>
    <t>Różne rozliczenia finansowe</t>
  </si>
  <si>
    <t>Odsetki od dotacji oraz płatności: wykorzystanych niezgodnie z przeznaczeniem lub wykorzystanych z naruszeniem procedur, o których mowa w art.. 184 ustawy, pobranych nienależnie lub w nadmiernej wysokości</t>
  </si>
  <si>
    <t>Zwroty dotacji oraz płatności, w tym wykorzystanych niezgodnie z przeznaczeniem lub wykorzystanych z naruszeniem procedur, o których mowa w art.. 184 ustawy, pobranych nienależnie lub w nadmiernej wysokości, dotyczące wydatków majątkowych</t>
  </si>
  <si>
    <t>dochody</t>
  </si>
  <si>
    <t>wydatki</t>
  </si>
  <si>
    <t>różnica</t>
  </si>
  <si>
    <t>dochody bieżące</t>
  </si>
  <si>
    <t>Plan na 30.09.2011</t>
  </si>
  <si>
    <t>Zwrot dotacji oraz płatności, w tym wykorzystanych niezgodnie z przeznaczeniem lub wykorzystanych z naruszeniem procedur, o których mowa w art.. 184 ustawy, pobranych nienależnie lub w nadmiernej wysokości</t>
  </si>
  <si>
    <t>Wydatki osobowe niezaliczone do wynagrodzeń</t>
  </si>
  <si>
    <t>Wybory do Sejmu i Senatu</t>
  </si>
  <si>
    <t>Wybory do rad gmin, rad powiatów i sejmików itd.</t>
  </si>
  <si>
    <t>Straż gminna (miejska)</t>
  </si>
  <si>
    <t>Dotacje celowe z budżetu JST, udzielone w trybie art. 221 ustawy, na finansowanie lub dofinansowanie zadań zleconych do realizacji organizacjom prowadzącym działalność pożytku publicznego</t>
  </si>
  <si>
    <t>Usługi opiekuńcze i specjalistyczne usługi opiekuńcze</t>
  </si>
  <si>
    <t>Wydatki na zakup i objęcie akcji</t>
  </si>
  <si>
    <t>Materiały informacyjne do projektu budżetu</t>
  </si>
  <si>
    <t>Tabelaryczne zestawienie planu i wykonania wydatków wg stanu na koniec III kwartału 2011 wraz z przewidywanym wykonaniem do końca roku 2011.</t>
  </si>
  <si>
    <t>01008</t>
  </si>
  <si>
    <t>Melioracje wodne</t>
  </si>
  <si>
    <t>Dotacja celowa z budżetu na finansowanie lub dofinansowanie zadań zleconych do realizacji pozostałym jednostkom nie zaliczanym do sektora finansów publicznych</t>
  </si>
  <si>
    <t>Wykonanie na 30.09.2011</t>
  </si>
  <si>
    <t>Przew.wyk. 31.12.2011</t>
  </si>
  <si>
    <t>dochody majątkowe</t>
  </si>
  <si>
    <t>W 2011</t>
  </si>
  <si>
    <t>W 2012</t>
  </si>
  <si>
    <t>D 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</si>
</sst>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&quot; zł&quot;_-;\-* #,##0.00&quot; zł&quot;_-;_-* \-??&quot; zł&quot;_-;_-@_-"/>
    <numFmt numFmtId="170" formatCode="#,##0.00&quot; zł&quot;;[Red]\-#,##0.00&quot; zł&quot;"/>
  </numFmts>
  <fonts count="52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i/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164" fontId="2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64" fontId="1" fillId="0" borderId="15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/>
    </xf>
    <xf numFmtId="164" fontId="3" fillId="33" borderId="21" xfId="0" applyNumberFormat="1" applyFont="1" applyFill="1" applyBorder="1" applyAlignment="1">
      <alignment/>
    </xf>
    <xf numFmtId="49" fontId="3" fillId="34" borderId="22" xfId="0" applyNumberFormat="1" applyFont="1" applyFill="1" applyBorder="1" applyAlignment="1">
      <alignment horizontal="right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wrapText="1"/>
    </xf>
    <xf numFmtId="164" fontId="3" fillId="34" borderId="24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wrapText="1"/>
    </xf>
    <xf numFmtId="164" fontId="4" fillId="0" borderId="27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164" fontId="1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4" fillId="0" borderId="33" xfId="0" applyFont="1" applyFill="1" applyBorder="1" applyAlignment="1">
      <alignment wrapText="1"/>
    </xf>
    <xf numFmtId="0" fontId="3" fillId="34" borderId="34" xfId="0" applyFont="1" applyFill="1" applyBorder="1" applyAlignment="1">
      <alignment horizontal="right"/>
    </xf>
    <xf numFmtId="0" fontId="3" fillId="34" borderId="35" xfId="0" applyFont="1" applyFill="1" applyBorder="1" applyAlignment="1">
      <alignment/>
    </xf>
    <xf numFmtId="0" fontId="3" fillId="34" borderId="35" xfId="0" applyFont="1" applyFill="1" applyBorder="1" applyAlignment="1">
      <alignment wrapText="1"/>
    </xf>
    <xf numFmtId="164" fontId="3" fillId="34" borderId="36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1" fillId="33" borderId="34" xfId="0" applyFont="1" applyFill="1" applyBorder="1" applyAlignment="1">
      <alignment horizontal="right"/>
    </xf>
    <xf numFmtId="0" fontId="1" fillId="33" borderId="35" xfId="0" applyFont="1" applyFill="1" applyBorder="1" applyAlignment="1">
      <alignment/>
    </xf>
    <xf numFmtId="0" fontId="3" fillId="33" borderId="35" xfId="0" applyFont="1" applyFill="1" applyBorder="1" applyAlignment="1">
      <alignment wrapText="1"/>
    </xf>
    <xf numFmtId="164" fontId="3" fillId="33" borderId="36" xfId="0" applyNumberFormat="1" applyFont="1" applyFill="1" applyBorder="1" applyAlignment="1">
      <alignment/>
    </xf>
    <xf numFmtId="164" fontId="4" fillId="0" borderId="16" xfId="0" applyNumberFormat="1" applyFont="1" applyFill="1" applyBorder="1" applyAlignment="1" applyProtection="1">
      <alignment/>
      <protection/>
    </xf>
    <xf numFmtId="164" fontId="3" fillId="35" borderId="3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64" fontId="1" fillId="36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3" fontId="3" fillId="34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0" fillId="37" borderId="11" xfId="0" applyNumberForma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3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3" fontId="1" fillId="0" borderId="11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Fill="1" applyBorder="1" applyAlignment="1" applyProtection="1">
      <alignment horizontal="right"/>
      <protection/>
    </xf>
    <xf numFmtId="4" fontId="0" fillId="0" borderId="11" xfId="0" applyNumberForma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0" fillId="37" borderId="11" xfId="0" applyNumberForma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9" fontId="3" fillId="34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" fontId="4" fillId="0" borderId="11" xfId="0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3" fontId="4" fillId="38" borderId="11" xfId="0" applyNumberFormat="1" applyFont="1" applyFill="1" applyBorder="1" applyAlignment="1" applyProtection="1">
      <alignment horizontal="right"/>
      <protection/>
    </xf>
    <xf numFmtId="4" fontId="4" fillId="38" borderId="11" xfId="0" applyNumberFormat="1" applyFont="1" applyFill="1" applyBorder="1" applyAlignment="1" applyProtection="1">
      <alignment horizontal="right"/>
      <protection/>
    </xf>
    <xf numFmtId="3" fontId="3" fillId="35" borderId="11" xfId="0" applyNumberFormat="1" applyFont="1" applyFill="1" applyBorder="1" applyAlignment="1">
      <alignment horizontal="right"/>
    </xf>
    <xf numFmtId="4" fontId="3" fillId="35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3" fontId="1" fillId="37" borderId="11" xfId="0" applyNumberFormat="1" applyFont="1" applyFill="1" applyBorder="1" applyAlignment="1">
      <alignment horizontal="right"/>
    </xf>
    <xf numFmtId="4" fontId="1" fillId="37" borderId="11" xfId="0" applyNumberFormat="1" applyFont="1" applyFill="1" applyBorder="1" applyAlignment="1">
      <alignment horizontal="right"/>
    </xf>
    <xf numFmtId="0" fontId="4" fillId="37" borderId="11" xfId="0" applyFont="1" applyFill="1" applyBorder="1" applyAlignment="1">
      <alignment wrapText="1"/>
    </xf>
    <xf numFmtId="3" fontId="4" fillId="37" borderId="11" xfId="0" applyNumberFormat="1" applyFont="1" applyFill="1" applyBorder="1" applyAlignment="1">
      <alignment horizontal="right"/>
    </xf>
    <xf numFmtId="4" fontId="4" fillId="37" borderId="11" xfId="0" applyNumberFormat="1" applyFont="1" applyFill="1" applyBorder="1" applyAlignment="1">
      <alignment horizontal="right"/>
    </xf>
    <xf numFmtId="3" fontId="0" fillId="39" borderId="11" xfId="0" applyNumberFormat="1" applyFill="1" applyBorder="1" applyAlignment="1">
      <alignment horizontal="right"/>
    </xf>
    <xf numFmtId="3" fontId="1" fillId="4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0" fontId="3" fillId="41" borderId="11" xfId="0" applyFont="1" applyFill="1" applyBorder="1" applyAlignment="1">
      <alignment/>
    </xf>
    <xf numFmtId="0" fontId="3" fillId="41" borderId="11" xfId="0" applyFont="1" applyFill="1" applyBorder="1" applyAlignment="1">
      <alignment wrapText="1"/>
    </xf>
    <xf numFmtId="3" fontId="0" fillId="41" borderId="0" xfId="0" applyNumberFormat="1" applyFill="1" applyAlignment="1">
      <alignment/>
    </xf>
    <xf numFmtId="0" fontId="4" fillId="37" borderId="11" xfId="0" applyFont="1" applyFill="1" applyBorder="1" applyAlignment="1">
      <alignment horizontal="right"/>
    </xf>
    <xf numFmtId="0" fontId="4" fillId="37" borderId="11" xfId="0" applyFont="1" applyFill="1" applyBorder="1" applyAlignment="1">
      <alignment/>
    </xf>
    <xf numFmtId="0" fontId="1" fillId="37" borderId="11" xfId="0" applyFont="1" applyFill="1" applyBorder="1" applyAlignment="1">
      <alignment horizontal="right"/>
    </xf>
    <xf numFmtId="0" fontId="1" fillId="37" borderId="11" xfId="0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3" fillId="37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41" borderId="0" xfId="0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41" borderId="0" xfId="0" applyNumberFormat="1" applyFill="1" applyBorder="1" applyAlignment="1">
      <alignment/>
    </xf>
    <xf numFmtId="4" fontId="3" fillId="0" borderId="0" xfId="0" applyNumberFormat="1" applyFont="1" applyBorder="1" applyAlignment="1">
      <alignment/>
    </xf>
    <xf numFmtId="3" fontId="10" fillId="41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41" borderId="11" xfId="0" applyNumberFormat="1" applyFill="1" applyBorder="1" applyAlignment="1">
      <alignment horizontal="right"/>
    </xf>
    <xf numFmtId="0" fontId="1" fillId="0" borderId="11" xfId="0" applyFont="1" applyBorder="1" applyAlignment="1">
      <alignment wrapText="1"/>
    </xf>
    <xf numFmtId="4" fontId="0" fillId="41" borderId="0" xfId="0" applyNumberFormat="1" applyFill="1" applyBorder="1" applyAlignment="1">
      <alignment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42" borderId="11" xfId="0" applyFont="1" applyFill="1" applyBorder="1" applyAlignment="1">
      <alignment horizontal="right"/>
    </xf>
    <xf numFmtId="0" fontId="3" fillId="42" borderId="11" xfId="0" applyFont="1" applyFill="1" applyBorder="1" applyAlignment="1">
      <alignment/>
    </xf>
    <xf numFmtId="0" fontId="3" fillId="42" borderId="11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164" fontId="2" fillId="0" borderId="0" xfId="0" applyNumberFormat="1" applyFont="1" applyBorder="1" applyAlignment="1">
      <alignment wrapText="1"/>
    </xf>
    <xf numFmtId="0" fontId="3" fillId="35" borderId="3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35" borderId="4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"/>
  <sheetViews>
    <sheetView tabSelected="1" zoomScalePageLayoutView="0" workbookViewId="0" topLeftCell="A1">
      <selection activeCell="L396" sqref="L396:Q405"/>
    </sheetView>
  </sheetViews>
  <sheetFormatPr defaultColWidth="9.00390625" defaultRowHeight="12.75"/>
  <cols>
    <col min="1" max="1" width="6.00390625" style="1" customWidth="1"/>
    <col min="2" max="2" width="5.00390625" style="2" customWidth="1"/>
    <col min="3" max="3" width="55.75390625" style="2" customWidth="1"/>
    <col min="4" max="4" width="11.25390625" style="0" hidden="1" customWidth="1"/>
    <col min="5" max="6" width="13.625" style="84" hidden="1" customWidth="1"/>
    <col min="7" max="8" width="13.625" style="0" hidden="1" customWidth="1"/>
    <col min="9" max="9" width="11.00390625" style="15" customWidth="1"/>
    <col min="10" max="10" width="12.75390625" style="84" customWidth="1"/>
    <col min="11" max="11" width="11.875" style="15" customWidth="1"/>
  </cols>
  <sheetData>
    <row r="1" spans="1:11" ht="30.75" customHeight="1">
      <c r="A1" s="176" t="s">
        <v>187</v>
      </c>
      <c r="B1" s="176"/>
      <c r="C1" s="176"/>
      <c r="D1" s="177"/>
      <c r="E1" s="177"/>
      <c r="F1" s="177"/>
      <c r="G1" s="177"/>
      <c r="H1" s="177"/>
      <c r="I1" s="178"/>
      <c r="J1" s="169"/>
      <c r="K1" s="169"/>
    </row>
    <row r="2" spans="1:11" ht="12.75" customHeight="1">
      <c r="A2" s="179"/>
      <c r="B2" s="178"/>
      <c r="C2" s="178"/>
      <c r="D2" s="178"/>
      <c r="E2" s="178"/>
      <c r="F2" s="178"/>
      <c r="G2" s="178"/>
      <c r="H2" s="178"/>
      <c r="I2" s="178"/>
      <c r="J2" s="170"/>
      <c r="K2" s="171"/>
    </row>
    <row r="3" spans="1:11" ht="27" customHeight="1">
      <c r="A3" s="179" t="s">
        <v>188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3" ht="12.75">
      <c r="A4" s="6"/>
      <c r="B4" s="7"/>
      <c r="C4" s="8"/>
    </row>
    <row r="5" spans="1:3" ht="12.75" hidden="1">
      <c r="A5" s="6"/>
      <c r="B5" s="7"/>
      <c r="C5" s="8"/>
    </row>
    <row r="6" spans="1:11" ht="38.25">
      <c r="A6" s="127" t="s">
        <v>0</v>
      </c>
      <c r="B6" s="128" t="s">
        <v>1</v>
      </c>
      <c r="C6" s="129" t="s">
        <v>2</v>
      </c>
      <c r="D6" s="130" t="s">
        <v>160</v>
      </c>
      <c r="E6" s="131" t="s">
        <v>161</v>
      </c>
      <c r="F6" s="131" t="s">
        <v>162</v>
      </c>
      <c r="G6" s="130" t="s">
        <v>163</v>
      </c>
      <c r="H6" s="130" t="s">
        <v>164</v>
      </c>
      <c r="I6" s="166" t="s">
        <v>178</v>
      </c>
      <c r="J6" s="131" t="s">
        <v>192</v>
      </c>
      <c r="K6" s="166" t="s">
        <v>193</v>
      </c>
    </row>
    <row r="7" spans="1:11" s="10" customFormat="1" ht="12.75">
      <c r="A7" s="132">
        <v>1</v>
      </c>
      <c r="B7" s="132">
        <v>2</v>
      </c>
      <c r="C7" s="132">
        <v>3</v>
      </c>
      <c r="D7" s="133">
        <v>5</v>
      </c>
      <c r="E7" s="133">
        <v>5</v>
      </c>
      <c r="F7" s="133">
        <v>5</v>
      </c>
      <c r="G7" s="133">
        <v>5</v>
      </c>
      <c r="H7" s="133">
        <v>5</v>
      </c>
      <c r="I7" s="167">
        <v>4</v>
      </c>
      <c r="J7" s="167">
        <v>5</v>
      </c>
      <c r="K7" s="167">
        <v>6</v>
      </c>
    </row>
    <row r="8" spans="1:11" ht="12.75">
      <c r="A8" s="105"/>
      <c r="B8" s="106"/>
      <c r="C8" s="107" t="s">
        <v>3</v>
      </c>
      <c r="D8" s="108" t="e">
        <f aca="true" t="shared" si="0" ref="D8:K8">SUM(D9,D28,D33,D63,D66,D79,D87,D140,D180,D186,D192,D195,D348,D368,D427,D448,D495,D524)</f>
        <v>#REF!</v>
      </c>
      <c r="E8" s="109" t="e">
        <f t="shared" si="0"/>
        <v>#REF!</v>
      </c>
      <c r="F8" s="109" t="e">
        <f t="shared" si="0"/>
        <v>#REF!</v>
      </c>
      <c r="G8" s="108" t="e">
        <f t="shared" si="0"/>
        <v>#REF!</v>
      </c>
      <c r="H8" s="108">
        <f t="shared" si="0"/>
        <v>21016978</v>
      </c>
      <c r="I8" s="108">
        <f t="shared" si="0"/>
        <v>24790042</v>
      </c>
      <c r="J8" s="109">
        <f t="shared" si="0"/>
        <v>16868416.49</v>
      </c>
      <c r="K8" s="108">
        <f t="shared" si="0"/>
        <v>24970904.650000002</v>
      </c>
    </row>
    <row r="9" spans="1:11" ht="12.75">
      <c r="A9" s="110" t="s">
        <v>4</v>
      </c>
      <c r="B9" s="89"/>
      <c r="C9" s="90" t="s">
        <v>5</v>
      </c>
      <c r="D9" s="91">
        <f>SUM(D12,D20,D22)</f>
        <v>5607130</v>
      </c>
      <c r="E9" s="103">
        <f>SUM(E12,E20,E22)</f>
        <v>721394.65</v>
      </c>
      <c r="F9" s="103">
        <f>SUM(F12,F20,F22)</f>
        <v>1090335.52</v>
      </c>
      <c r="G9" s="91">
        <f>SUM(G12,G20,G22)</f>
        <v>4222212</v>
      </c>
      <c r="H9" s="91">
        <f>SUM(H12,H20,H22)</f>
        <v>43667</v>
      </c>
      <c r="I9" s="91">
        <f>SUM(I10,I12,I20,I22)</f>
        <v>1218483</v>
      </c>
      <c r="J9" s="103">
        <f>SUM(J10,J12,J20,J22)</f>
        <v>1134936.6900000002</v>
      </c>
      <c r="K9" s="91">
        <f>SUM(K10,K12,K20,K22)</f>
        <v>1235169.24</v>
      </c>
    </row>
    <row r="10" spans="1:11" ht="12.75">
      <c r="A10" s="111" t="s">
        <v>189</v>
      </c>
      <c r="B10" s="26"/>
      <c r="C10" s="19" t="s">
        <v>190</v>
      </c>
      <c r="D10" s="91"/>
      <c r="E10" s="103"/>
      <c r="F10" s="103"/>
      <c r="G10" s="91"/>
      <c r="H10" s="91"/>
      <c r="I10" s="92">
        <f>SUM(I11)</f>
        <v>0</v>
      </c>
      <c r="J10" s="100">
        <f>SUM(J11)</f>
        <v>0</v>
      </c>
      <c r="K10" s="92">
        <f>SUM(K11)</f>
        <v>2000</v>
      </c>
    </row>
    <row r="11" spans="1:11" ht="36">
      <c r="A11" s="112"/>
      <c r="B11" s="27">
        <v>2830</v>
      </c>
      <c r="C11" s="87" t="s">
        <v>191</v>
      </c>
      <c r="D11" s="91"/>
      <c r="E11" s="103"/>
      <c r="F11" s="103"/>
      <c r="G11" s="91"/>
      <c r="H11" s="91"/>
      <c r="I11" s="93">
        <v>0</v>
      </c>
      <c r="J11" s="102">
        <v>0</v>
      </c>
      <c r="K11" s="93">
        <v>2000</v>
      </c>
    </row>
    <row r="12" spans="1:11" ht="12.75">
      <c r="A12" s="111" t="s">
        <v>6</v>
      </c>
      <c r="B12" s="26"/>
      <c r="C12" s="19" t="s">
        <v>7</v>
      </c>
      <c r="D12" s="92">
        <f aca="true" t="shared" si="1" ref="D12:J12">SUM(D13:D19)</f>
        <v>5593754</v>
      </c>
      <c r="E12" s="100">
        <f t="shared" si="1"/>
        <v>713204.65</v>
      </c>
      <c r="F12" s="100">
        <f t="shared" si="1"/>
        <v>1085972.55</v>
      </c>
      <c r="G12" s="92">
        <f t="shared" si="1"/>
        <v>4216412</v>
      </c>
      <c r="H12" s="92">
        <f t="shared" si="1"/>
        <v>37347</v>
      </c>
      <c r="I12" s="92">
        <f t="shared" si="1"/>
        <v>1203219</v>
      </c>
      <c r="J12" s="100">
        <f t="shared" si="1"/>
        <v>1122781.74</v>
      </c>
      <c r="K12" s="92">
        <f>SUM(K13:K19)</f>
        <v>1218219</v>
      </c>
    </row>
    <row r="13" spans="1:11" ht="36">
      <c r="A13" s="111"/>
      <c r="B13" s="27">
        <v>2900</v>
      </c>
      <c r="C13" s="87" t="s">
        <v>103</v>
      </c>
      <c r="D13" s="81">
        <v>0</v>
      </c>
      <c r="E13" s="101">
        <v>0</v>
      </c>
      <c r="F13" s="101">
        <v>0</v>
      </c>
      <c r="G13" s="81">
        <v>39100</v>
      </c>
      <c r="H13" s="81">
        <f>4269+27754</f>
        <v>32023</v>
      </c>
      <c r="I13" s="81">
        <v>18146</v>
      </c>
      <c r="J13" s="101">
        <v>18145.9</v>
      </c>
      <c r="K13" s="81">
        <v>18146</v>
      </c>
    </row>
    <row r="14" spans="1:11" ht="12.75">
      <c r="A14" s="111"/>
      <c r="B14" s="27">
        <v>4210</v>
      </c>
      <c r="C14" s="18" t="s">
        <v>14</v>
      </c>
      <c r="D14" s="81">
        <v>1000</v>
      </c>
      <c r="E14" s="101">
        <v>0</v>
      </c>
      <c r="F14" s="101">
        <v>0</v>
      </c>
      <c r="G14" s="81">
        <v>0</v>
      </c>
      <c r="H14" s="81">
        <v>100</v>
      </c>
      <c r="I14" s="81">
        <v>100</v>
      </c>
      <c r="J14" s="101">
        <v>0</v>
      </c>
      <c r="K14" s="81">
        <v>100</v>
      </c>
    </row>
    <row r="15" spans="1:11" ht="12.75">
      <c r="A15" s="111"/>
      <c r="B15" s="27">
        <v>4300</v>
      </c>
      <c r="C15" s="18" t="s">
        <v>15</v>
      </c>
      <c r="D15" s="82">
        <v>3000</v>
      </c>
      <c r="E15" s="99">
        <v>30.25</v>
      </c>
      <c r="F15" s="99">
        <v>0</v>
      </c>
      <c r="G15" s="82">
        <v>50</v>
      </c>
      <c r="H15" s="82">
        <v>100</v>
      </c>
      <c r="I15" s="82">
        <v>100</v>
      </c>
      <c r="J15" s="99">
        <v>0</v>
      </c>
      <c r="K15" s="82">
        <v>100</v>
      </c>
    </row>
    <row r="16" spans="1:11" ht="12.75">
      <c r="A16" s="111"/>
      <c r="B16" s="151">
        <v>6050</v>
      </c>
      <c r="C16" s="18" t="s">
        <v>26</v>
      </c>
      <c r="D16" s="82">
        <v>118238</v>
      </c>
      <c r="E16" s="99">
        <v>0</v>
      </c>
      <c r="F16" s="99">
        <v>56472.61</v>
      </c>
      <c r="G16" s="82">
        <v>118238</v>
      </c>
      <c r="H16" s="82">
        <v>0</v>
      </c>
      <c r="I16" s="82">
        <v>7000</v>
      </c>
      <c r="J16" s="99">
        <v>6857.94</v>
      </c>
      <c r="K16" s="82">
        <v>7000</v>
      </c>
    </row>
    <row r="17" spans="1:11" ht="12.75">
      <c r="A17" s="111"/>
      <c r="B17" s="151">
        <v>6057</v>
      </c>
      <c r="C17" s="18" t="s">
        <v>26</v>
      </c>
      <c r="D17" s="82">
        <v>2919900</v>
      </c>
      <c r="E17" s="99">
        <v>0</v>
      </c>
      <c r="F17" s="99">
        <v>573552.11</v>
      </c>
      <c r="G17" s="82">
        <v>1912166</v>
      </c>
      <c r="H17" s="82">
        <v>0</v>
      </c>
      <c r="I17" s="82">
        <v>364414</v>
      </c>
      <c r="J17" s="99">
        <v>357929.05</v>
      </c>
      <c r="K17" s="82">
        <v>364414</v>
      </c>
    </row>
    <row r="18" spans="1:11" ht="12.75">
      <c r="A18" s="111"/>
      <c r="B18" s="151">
        <v>6059</v>
      </c>
      <c r="C18" s="18" t="s">
        <v>26</v>
      </c>
      <c r="D18" s="82">
        <v>2501958</v>
      </c>
      <c r="E18" s="99">
        <v>258544</v>
      </c>
      <c r="F18" s="99">
        <v>416912.35</v>
      </c>
      <c r="G18" s="82">
        <f>2070100+71858</f>
        <v>2141958</v>
      </c>
      <c r="H18" s="82">
        <v>0</v>
      </c>
      <c r="I18" s="82">
        <v>788835</v>
      </c>
      <c r="J18" s="99">
        <v>739848.85</v>
      </c>
      <c r="K18" s="82">
        <v>803835</v>
      </c>
    </row>
    <row r="19" spans="1:11" ht="33.75">
      <c r="A19" s="112"/>
      <c r="B19" s="151">
        <v>6659</v>
      </c>
      <c r="C19" s="44" t="s">
        <v>8</v>
      </c>
      <c r="D19" s="82">
        <v>49658</v>
      </c>
      <c r="E19" s="99">
        <v>454630.4</v>
      </c>
      <c r="F19" s="99">
        <v>39035.48</v>
      </c>
      <c r="G19" s="82">
        <v>4900</v>
      </c>
      <c r="H19" s="82">
        <v>5124</v>
      </c>
      <c r="I19" s="82">
        <v>24624</v>
      </c>
      <c r="J19" s="99">
        <v>0</v>
      </c>
      <c r="K19" s="82">
        <v>24624</v>
      </c>
    </row>
    <row r="20" spans="1:11" ht="12.75">
      <c r="A20" s="111" t="s">
        <v>9</v>
      </c>
      <c r="B20" s="26"/>
      <c r="C20" s="19" t="s">
        <v>10</v>
      </c>
      <c r="D20" s="92">
        <f aca="true" t="shared" si="2" ref="D20:K20">SUM(D21)</f>
        <v>5376</v>
      </c>
      <c r="E20" s="100">
        <f t="shared" si="2"/>
        <v>6090</v>
      </c>
      <c r="F20" s="100">
        <f t="shared" si="2"/>
        <v>3557.77</v>
      </c>
      <c r="G20" s="92">
        <f t="shared" si="2"/>
        <v>4800</v>
      </c>
      <c r="H20" s="92">
        <f t="shared" si="2"/>
        <v>5820</v>
      </c>
      <c r="I20" s="92">
        <f t="shared" si="2"/>
        <v>6320</v>
      </c>
      <c r="J20" s="100">
        <f t="shared" si="2"/>
        <v>4025.33</v>
      </c>
      <c r="K20" s="92">
        <f t="shared" si="2"/>
        <v>6320</v>
      </c>
    </row>
    <row r="21" spans="1:11" ht="25.5">
      <c r="A21" s="112"/>
      <c r="B21" s="27">
        <v>2850</v>
      </c>
      <c r="C21" s="18" t="s">
        <v>11</v>
      </c>
      <c r="D21" s="93">
        <v>5376</v>
      </c>
      <c r="E21" s="102">
        <v>6090</v>
      </c>
      <c r="F21" s="102">
        <v>3557.77</v>
      </c>
      <c r="G21" s="93">
        <v>4800</v>
      </c>
      <c r="H21" s="93">
        <v>5820</v>
      </c>
      <c r="I21" s="93">
        <v>6320</v>
      </c>
      <c r="J21" s="102">
        <v>4025.33</v>
      </c>
      <c r="K21" s="93">
        <v>6320</v>
      </c>
    </row>
    <row r="22" spans="1:11" ht="12.75">
      <c r="A22" s="111" t="s">
        <v>12</v>
      </c>
      <c r="B22" s="26"/>
      <c r="C22" s="19" t="s">
        <v>13</v>
      </c>
      <c r="D22" s="92">
        <f>SUM(D23:D27)</f>
        <v>8000</v>
      </c>
      <c r="E22" s="92">
        <f aca="true" t="shared" si="3" ref="E22:J22">SUM(E23:E27)</f>
        <v>2100</v>
      </c>
      <c r="F22" s="92">
        <f t="shared" si="3"/>
        <v>805.2</v>
      </c>
      <c r="G22" s="92">
        <f t="shared" si="3"/>
        <v>1000</v>
      </c>
      <c r="H22" s="92">
        <f t="shared" si="3"/>
        <v>500</v>
      </c>
      <c r="I22" s="92">
        <f t="shared" si="3"/>
        <v>8944</v>
      </c>
      <c r="J22" s="100">
        <f t="shared" si="3"/>
        <v>8129.62</v>
      </c>
      <c r="K22" s="92">
        <f>SUM(K23:K27)</f>
        <v>8630.24</v>
      </c>
    </row>
    <row r="23" spans="1:11" ht="51">
      <c r="A23" s="111"/>
      <c r="B23" s="27">
        <v>2910</v>
      </c>
      <c r="C23" s="18" t="s">
        <v>179</v>
      </c>
      <c r="D23" s="92"/>
      <c r="E23" s="100"/>
      <c r="F23" s="100"/>
      <c r="G23" s="92"/>
      <c r="H23" s="92"/>
      <c r="I23" s="81">
        <v>7530</v>
      </c>
      <c r="J23" s="101">
        <v>7529.38</v>
      </c>
      <c r="K23" s="81">
        <v>7530</v>
      </c>
    </row>
    <row r="24" spans="1:11" ht="12.75">
      <c r="A24" s="112"/>
      <c r="B24" s="27">
        <v>4210</v>
      </c>
      <c r="C24" s="18" t="s">
        <v>14</v>
      </c>
      <c r="D24" s="82">
        <f>5344-344</f>
        <v>5000</v>
      </c>
      <c r="E24" s="99">
        <v>2100</v>
      </c>
      <c r="F24" s="99">
        <v>0</v>
      </c>
      <c r="G24" s="82">
        <v>0</v>
      </c>
      <c r="H24" s="82">
        <v>0</v>
      </c>
      <c r="I24" s="82">
        <v>500</v>
      </c>
      <c r="J24" s="99">
        <v>0</v>
      </c>
      <c r="K24" s="82">
        <v>500</v>
      </c>
    </row>
    <row r="25" spans="1:11" ht="12.75" hidden="1">
      <c r="A25" s="112"/>
      <c r="B25" s="27">
        <v>4300</v>
      </c>
      <c r="C25" s="18" t="s">
        <v>15</v>
      </c>
      <c r="D25" s="82">
        <f>3367-2367</f>
        <v>1000</v>
      </c>
      <c r="E25" s="99">
        <v>0</v>
      </c>
      <c r="F25" s="99">
        <f>2313.75-1508.55</f>
        <v>805.2</v>
      </c>
      <c r="G25" s="82">
        <v>1000</v>
      </c>
      <c r="H25" s="82">
        <v>500</v>
      </c>
      <c r="I25" s="82">
        <v>0</v>
      </c>
      <c r="J25" s="163"/>
      <c r="K25" s="82">
        <v>0</v>
      </c>
    </row>
    <row r="26" spans="1:11" ht="12.75" hidden="1">
      <c r="A26" s="112"/>
      <c r="B26" s="27">
        <v>4430</v>
      </c>
      <c r="C26" s="18" t="s">
        <v>16</v>
      </c>
      <c r="D26" s="82">
        <f>138968-136968</f>
        <v>2000</v>
      </c>
      <c r="E26" s="99">
        <v>0</v>
      </c>
      <c r="F26" s="99">
        <v>0</v>
      </c>
      <c r="G26" s="82">
        <v>0</v>
      </c>
      <c r="H26" s="82">
        <v>0</v>
      </c>
      <c r="I26" s="82">
        <v>0</v>
      </c>
      <c r="J26" s="99">
        <v>0</v>
      </c>
      <c r="K26" s="82">
        <v>0</v>
      </c>
    </row>
    <row r="27" spans="1:11" ht="51">
      <c r="A27" s="112"/>
      <c r="B27" s="27">
        <v>4560</v>
      </c>
      <c r="C27" s="18" t="s">
        <v>172</v>
      </c>
      <c r="D27" s="82">
        <v>0</v>
      </c>
      <c r="E27" s="99">
        <v>0</v>
      </c>
      <c r="F27" s="99"/>
      <c r="G27" s="82"/>
      <c r="H27" s="82">
        <v>0</v>
      </c>
      <c r="I27" s="82">
        <v>914</v>
      </c>
      <c r="J27" s="99">
        <v>600.24</v>
      </c>
      <c r="K27" s="82">
        <v>600.24</v>
      </c>
    </row>
    <row r="28" spans="1:11" ht="12.75">
      <c r="A28" s="113">
        <v>500</v>
      </c>
      <c r="B28" s="89"/>
      <c r="C28" s="90" t="s">
        <v>17</v>
      </c>
      <c r="D28" s="91">
        <f aca="true" t="shared" si="4" ref="D28:K28">SUM(D29)</f>
        <v>17500</v>
      </c>
      <c r="E28" s="103">
        <f t="shared" si="4"/>
        <v>18032.370000000003</v>
      </c>
      <c r="F28" s="103">
        <f t="shared" si="4"/>
        <v>10611.85</v>
      </c>
      <c r="G28" s="91">
        <f t="shared" si="4"/>
        <v>15750</v>
      </c>
      <c r="H28" s="91">
        <f t="shared" si="4"/>
        <v>15750</v>
      </c>
      <c r="I28" s="91">
        <f t="shared" si="4"/>
        <v>15250</v>
      </c>
      <c r="J28" s="103">
        <f t="shared" si="4"/>
        <v>9712.84</v>
      </c>
      <c r="K28" s="91">
        <f t="shared" si="4"/>
        <v>15250</v>
      </c>
    </row>
    <row r="29" spans="1:11" ht="12.75">
      <c r="A29" s="114">
        <v>50095</v>
      </c>
      <c r="B29" s="26"/>
      <c r="C29" s="19" t="s">
        <v>13</v>
      </c>
      <c r="D29" s="92">
        <f aca="true" t="shared" si="5" ref="D29:J29">SUM(D30:D32)</f>
        <v>17500</v>
      </c>
      <c r="E29" s="100">
        <f t="shared" si="5"/>
        <v>18032.370000000003</v>
      </c>
      <c r="F29" s="100">
        <f t="shared" si="5"/>
        <v>10611.85</v>
      </c>
      <c r="G29" s="92">
        <f t="shared" si="5"/>
        <v>15750</v>
      </c>
      <c r="H29" s="92">
        <f t="shared" si="5"/>
        <v>15750</v>
      </c>
      <c r="I29" s="92">
        <f t="shared" si="5"/>
        <v>15250</v>
      </c>
      <c r="J29" s="100">
        <f t="shared" si="5"/>
        <v>9712.84</v>
      </c>
      <c r="K29" s="92">
        <f>SUM(K30:K32)</f>
        <v>15250</v>
      </c>
    </row>
    <row r="30" spans="1:11" ht="12.75">
      <c r="A30" s="114"/>
      <c r="B30" s="27">
        <v>4210</v>
      </c>
      <c r="C30" s="18" t="s">
        <v>14</v>
      </c>
      <c r="D30" s="82">
        <v>20</v>
      </c>
      <c r="E30" s="99">
        <v>235</v>
      </c>
      <c r="F30" s="99">
        <v>13.4</v>
      </c>
      <c r="G30" s="82">
        <v>50</v>
      </c>
      <c r="H30" s="82">
        <v>50</v>
      </c>
      <c r="I30" s="82">
        <v>50</v>
      </c>
      <c r="J30" s="99">
        <v>0</v>
      </c>
      <c r="K30" s="82">
        <v>50</v>
      </c>
    </row>
    <row r="31" spans="1:11" ht="12.75">
      <c r="A31" s="114"/>
      <c r="B31" s="27">
        <v>4270</v>
      </c>
      <c r="C31" s="18" t="s">
        <v>24</v>
      </c>
      <c r="D31" s="82">
        <v>1500</v>
      </c>
      <c r="E31" s="99">
        <v>622.74</v>
      </c>
      <c r="F31" s="99">
        <v>0</v>
      </c>
      <c r="G31" s="82">
        <v>700</v>
      </c>
      <c r="H31" s="82">
        <v>700</v>
      </c>
      <c r="I31" s="82">
        <v>700</v>
      </c>
      <c r="J31" s="99">
        <v>332.64</v>
      </c>
      <c r="K31" s="82">
        <v>700</v>
      </c>
    </row>
    <row r="32" spans="1:11" ht="12.75">
      <c r="A32" s="115"/>
      <c r="B32" s="27">
        <v>4300</v>
      </c>
      <c r="C32" s="18" t="s">
        <v>15</v>
      </c>
      <c r="D32" s="82">
        <v>15980</v>
      </c>
      <c r="E32" s="99">
        <v>17174.63</v>
      </c>
      <c r="F32" s="99">
        <v>10598.45</v>
      </c>
      <c r="G32" s="82">
        <v>15000</v>
      </c>
      <c r="H32" s="82">
        <v>15000</v>
      </c>
      <c r="I32" s="82">
        <v>14500</v>
      </c>
      <c r="J32" s="99">
        <v>9380.2</v>
      </c>
      <c r="K32" s="82">
        <v>14500</v>
      </c>
    </row>
    <row r="33" spans="1:11" ht="12.75">
      <c r="A33" s="113">
        <v>600</v>
      </c>
      <c r="B33" s="89"/>
      <c r="C33" s="90" t="s">
        <v>18</v>
      </c>
      <c r="D33" s="91">
        <f aca="true" t="shared" si="6" ref="D33:J33">D34+D36+D39+D42+D56+D59</f>
        <v>3739088</v>
      </c>
      <c r="E33" s="103">
        <f t="shared" si="6"/>
        <v>5355690.05</v>
      </c>
      <c r="F33" s="103">
        <f t="shared" si="6"/>
        <v>1445781.3900000001</v>
      </c>
      <c r="G33" s="91">
        <f t="shared" si="6"/>
        <v>3979758.01</v>
      </c>
      <c r="H33" s="91">
        <f t="shared" si="6"/>
        <v>674691</v>
      </c>
      <c r="I33" s="91">
        <f t="shared" si="6"/>
        <v>1326598</v>
      </c>
      <c r="J33" s="103">
        <f t="shared" si="6"/>
        <v>769630.1699999999</v>
      </c>
      <c r="K33" s="91">
        <f>K34+K36+K39+K42+K56+K59</f>
        <v>1322509</v>
      </c>
    </row>
    <row r="34" spans="1:11" ht="12.75">
      <c r="A34" s="114">
        <v>60004</v>
      </c>
      <c r="B34" s="26"/>
      <c r="C34" s="19" t="s">
        <v>19</v>
      </c>
      <c r="D34" s="92">
        <f aca="true" t="shared" si="7" ref="D34:K34">SUM(D35)</f>
        <v>43161</v>
      </c>
      <c r="E34" s="100">
        <f t="shared" si="7"/>
        <v>42386.35</v>
      </c>
      <c r="F34" s="100">
        <f t="shared" si="7"/>
        <v>32413.05</v>
      </c>
      <c r="G34" s="92">
        <f t="shared" si="7"/>
        <v>43161</v>
      </c>
      <c r="H34" s="92">
        <f t="shared" si="7"/>
        <v>43161</v>
      </c>
      <c r="I34" s="92">
        <f t="shared" si="7"/>
        <v>46075</v>
      </c>
      <c r="J34" s="100">
        <f t="shared" si="7"/>
        <v>34738.65</v>
      </c>
      <c r="K34" s="92">
        <f t="shared" si="7"/>
        <v>46786</v>
      </c>
    </row>
    <row r="35" spans="1:11" ht="33.75">
      <c r="A35" s="115"/>
      <c r="B35" s="27">
        <v>2310</v>
      </c>
      <c r="C35" s="44" t="s">
        <v>20</v>
      </c>
      <c r="D35" s="82">
        <v>43161</v>
      </c>
      <c r="E35" s="99">
        <v>42386.35</v>
      </c>
      <c r="F35" s="99">
        <v>32413.05</v>
      </c>
      <c r="G35" s="82">
        <v>43161</v>
      </c>
      <c r="H35" s="82">
        <v>43161</v>
      </c>
      <c r="I35" s="82">
        <v>46075</v>
      </c>
      <c r="J35" s="99">
        <v>34738.65</v>
      </c>
      <c r="K35" s="82">
        <v>46786</v>
      </c>
    </row>
    <row r="36" spans="1:11" ht="12.75" hidden="1">
      <c r="A36" s="114">
        <v>60013</v>
      </c>
      <c r="B36" s="26"/>
      <c r="C36" s="19" t="s">
        <v>138</v>
      </c>
      <c r="D36" s="92">
        <f aca="true" t="shared" si="8" ref="D36:J36">SUM(D37:D38)</f>
        <v>0</v>
      </c>
      <c r="E36" s="100">
        <f t="shared" si="8"/>
        <v>50000</v>
      </c>
      <c r="F36" s="100">
        <f t="shared" si="8"/>
        <v>0</v>
      </c>
      <c r="G36" s="100">
        <f t="shared" si="8"/>
        <v>0</v>
      </c>
      <c r="H36" s="100">
        <f t="shared" si="8"/>
        <v>0</v>
      </c>
      <c r="I36" s="92">
        <f t="shared" si="8"/>
        <v>0</v>
      </c>
      <c r="J36" s="100">
        <f t="shared" si="8"/>
        <v>0</v>
      </c>
      <c r="K36" s="92">
        <f>SUM(K37:K38)</f>
        <v>0</v>
      </c>
    </row>
    <row r="37" spans="1:11" ht="24.75" customHeight="1" hidden="1">
      <c r="A37" s="116"/>
      <c r="B37" s="27">
        <v>2710</v>
      </c>
      <c r="C37" s="44" t="s">
        <v>22</v>
      </c>
      <c r="D37" s="82">
        <v>0</v>
      </c>
      <c r="E37" s="99">
        <v>0</v>
      </c>
      <c r="F37" s="99"/>
      <c r="G37" s="82"/>
      <c r="H37" s="82">
        <v>0</v>
      </c>
      <c r="I37" s="82">
        <v>0</v>
      </c>
      <c r="J37" s="99"/>
      <c r="K37" s="82">
        <v>0</v>
      </c>
    </row>
    <row r="38" spans="1:11" ht="36.75" customHeight="1" hidden="1">
      <c r="A38" s="116"/>
      <c r="B38" s="27">
        <v>6300</v>
      </c>
      <c r="C38" s="44" t="s">
        <v>145</v>
      </c>
      <c r="D38" s="82">
        <v>0</v>
      </c>
      <c r="E38" s="99">
        <v>50000</v>
      </c>
      <c r="F38" s="99"/>
      <c r="G38" s="82"/>
      <c r="H38" s="82">
        <v>0</v>
      </c>
      <c r="I38" s="82">
        <v>0</v>
      </c>
      <c r="J38" s="99"/>
      <c r="K38" s="82">
        <v>0</v>
      </c>
    </row>
    <row r="39" spans="1:11" ht="12.75">
      <c r="A39" s="114">
        <v>60014</v>
      </c>
      <c r="B39" s="26"/>
      <c r="C39" s="19" t="s">
        <v>21</v>
      </c>
      <c r="D39" s="92">
        <f>SUM(D40:D41)</f>
        <v>400000</v>
      </c>
      <c r="E39" s="100">
        <f>SUM(E40:E41)</f>
        <v>600000</v>
      </c>
      <c r="F39" s="100">
        <f>SUM(F40:F41)</f>
        <v>0</v>
      </c>
      <c r="G39" s="92">
        <f>SUM(G40:G41)</f>
        <v>400000</v>
      </c>
      <c r="H39" s="92">
        <f>SUM(H40:H40)</f>
        <v>0</v>
      </c>
      <c r="I39" s="92">
        <f>SUM(I40:I41)</f>
        <v>295000</v>
      </c>
      <c r="J39" s="92">
        <f>SUM(J40:J41)</f>
        <v>0</v>
      </c>
      <c r="K39" s="92">
        <f>SUM(K40:K41)</f>
        <v>295000</v>
      </c>
    </row>
    <row r="40" spans="1:11" s="13" customFormat="1" ht="26.25" customHeight="1" hidden="1">
      <c r="A40" s="116"/>
      <c r="B40" s="27">
        <v>2710</v>
      </c>
      <c r="C40" s="44" t="s">
        <v>22</v>
      </c>
      <c r="D40" s="82">
        <v>400000</v>
      </c>
      <c r="E40" s="99">
        <v>600000</v>
      </c>
      <c r="F40" s="99">
        <v>0</v>
      </c>
      <c r="G40" s="82">
        <v>400000</v>
      </c>
      <c r="H40" s="93">
        <v>0</v>
      </c>
      <c r="I40" s="93">
        <v>0</v>
      </c>
      <c r="J40" s="99">
        <v>0</v>
      </c>
      <c r="K40" s="93">
        <v>0</v>
      </c>
    </row>
    <row r="41" spans="1:11" s="13" customFormat="1" ht="33.75" customHeight="1">
      <c r="A41" s="116"/>
      <c r="B41" s="151">
        <v>6300</v>
      </c>
      <c r="C41" s="44" t="s">
        <v>145</v>
      </c>
      <c r="D41" s="82">
        <v>0</v>
      </c>
      <c r="E41" s="99">
        <v>0</v>
      </c>
      <c r="F41" s="99">
        <v>0</v>
      </c>
      <c r="G41" s="82">
        <v>0</v>
      </c>
      <c r="H41" s="82">
        <v>0</v>
      </c>
      <c r="I41" s="82">
        <v>295000</v>
      </c>
      <c r="J41" s="99">
        <v>0</v>
      </c>
      <c r="K41" s="82">
        <v>295000</v>
      </c>
    </row>
    <row r="42" spans="1:11" ht="12.75">
      <c r="A42" s="114">
        <v>60016</v>
      </c>
      <c r="B42" s="26"/>
      <c r="C42" s="19" t="s">
        <v>23</v>
      </c>
      <c r="D42" s="92">
        <f aca="true" t="shared" si="9" ref="D42:J42">SUM(D43:D55)</f>
        <v>2570927</v>
      </c>
      <c r="E42" s="100">
        <f t="shared" si="9"/>
        <v>4663303.7</v>
      </c>
      <c r="F42" s="100">
        <f t="shared" si="9"/>
        <v>1411089.24</v>
      </c>
      <c r="G42" s="92">
        <f t="shared" si="9"/>
        <v>2814027</v>
      </c>
      <c r="H42" s="92">
        <f t="shared" si="9"/>
        <v>627088</v>
      </c>
      <c r="I42" s="92">
        <f t="shared" si="9"/>
        <v>751268</v>
      </c>
      <c r="J42" s="100">
        <f t="shared" si="9"/>
        <v>506425.29</v>
      </c>
      <c r="K42" s="92">
        <f>SUM(K43:K55)</f>
        <v>746468</v>
      </c>
    </row>
    <row r="43" spans="1:11" ht="12.75">
      <c r="A43" s="114"/>
      <c r="B43" s="27">
        <v>4110</v>
      </c>
      <c r="C43" s="18" t="s">
        <v>39</v>
      </c>
      <c r="D43" s="81">
        <v>500</v>
      </c>
      <c r="E43" s="101">
        <v>0</v>
      </c>
      <c r="F43" s="101">
        <v>226.5</v>
      </c>
      <c r="G43" s="81">
        <v>300</v>
      </c>
      <c r="H43" s="81">
        <v>300</v>
      </c>
      <c r="I43" s="81">
        <v>300</v>
      </c>
      <c r="J43" s="101">
        <v>226.5</v>
      </c>
      <c r="K43" s="81">
        <v>300</v>
      </c>
    </row>
    <row r="44" spans="1:11" ht="12.75">
      <c r="A44" s="114"/>
      <c r="B44" s="27">
        <v>4120</v>
      </c>
      <c r="C44" s="18" t="s">
        <v>40</v>
      </c>
      <c r="D44" s="81">
        <v>100</v>
      </c>
      <c r="E44" s="101">
        <v>0</v>
      </c>
      <c r="F44" s="101">
        <v>36.75</v>
      </c>
      <c r="G44" s="81">
        <v>100</v>
      </c>
      <c r="H44" s="81">
        <v>100</v>
      </c>
      <c r="I44" s="81">
        <v>100</v>
      </c>
      <c r="J44" s="101">
        <v>0</v>
      </c>
      <c r="K44" s="81">
        <v>100</v>
      </c>
    </row>
    <row r="45" spans="1:11" ht="12.75">
      <c r="A45" s="114"/>
      <c r="B45" s="27">
        <v>4170</v>
      </c>
      <c r="C45" s="18" t="s">
        <v>42</v>
      </c>
      <c r="D45" s="82">
        <v>5000</v>
      </c>
      <c r="E45" s="99">
        <v>7805</v>
      </c>
      <c r="F45" s="99">
        <v>2640</v>
      </c>
      <c r="G45" s="82">
        <v>3000</v>
      </c>
      <c r="H45" s="82">
        <v>3000</v>
      </c>
      <c r="I45" s="82">
        <v>3000</v>
      </c>
      <c r="J45" s="99">
        <v>1500</v>
      </c>
      <c r="K45" s="82">
        <v>3000</v>
      </c>
    </row>
    <row r="46" spans="1:11" ht="12.75">
      <c r="A46" s="114"/>
      <c r="B46" s="27">
        <v>4210</v>
      </c>
      <c r="C46" s="18" t="s">
        <v>14</v>
      </c>
      <c r="D46" s="82">
        <v>2000</v>
      </c>
      <c r="E46" s="99">
        <v>935.66</v>
      </c>
      <c r="F46" s="99">
        <v>0</v>
      </c>
      <c r="G46" s="82">
        <v>0</v>
      </c>
      <c r="H46" s="82">
        <v>1000</v>
      </c>
      <c r="I46" s="82">
        <v>1000</v>
      </c>
      <c r="J46" s="99">
        <v>390</v>
      </c>
      <c r="K46" s="82">
        <v>7866</v>
      </c>
    </row>
    <row r="47" spans="1:11" ht="12.75">
      <c r="A47" s="115"/>
      <c r="B47" s="27">
        <v>4270</v>
      </c>
      <c r="C47" s="18" t="s">
        <v>24</v>
      </c>
      <c r="D47" s="82">
        <v>65000</v>
      </c>
      <c r="E47" s="99">
        <v>112970</v>
      </c>
      <c r="F47" s="99">
        <v>16977.43</v>
      </c>
      <c r="G47" s="82">
        <v>65000</v>
      </c>
      <c r="H47" s="82">
        <v>50000</v>
      </c>
      <c r="I47" s="82">
        <v>101000</v>
      </c>
      <c r="J47" s="99">
        <v>90499.26</v>
      </c>
      <c r="K47" s="82">
        <v>101000</v>
      </c>
    </row>
    <row r="48" spans="1:11" ht="12.75">
      <c r="A48" s="115"/>
      <c r="B48" s="27">
        <v>4300</v>
      </c>
      <c r="C48" s="18" t="s">
        <v>15</v>
      </c>
      <c r="D48" s="82">
        <v>299400</v>
      </c>
      <c r="E48" s="99">
        <v>237469.84</v>
      </c>
      <c r="F48" s="99">
        <v>281082.7</v>
      </c>
      <c r="G48" s="140">
        <v>374777</v>
      </c>
      <c r="H48" s="82">
        <v>341759</v>
      </c>
      <c r="I48" s="82">
        <v>274160</v>
      </c>
      <c r="J48" s="99">
        <v>236255.9</v>
      </c>
      <c r="K48" s="82">
        <v>263494</v>
      </c>
    </row>
    <row r="49" spans="1:11" ht="12.75">
      <c r="A49" s="115"/>
      <c r="B49" s="27">
        <v>4430</v>
      </c>
      <c r="C49" s="18" t="s">
        <v>16</v>
      </c>
      <c r="D49" s="82">
        <v>5723</v>
      </c>
      <c r="E49" s="99">
        <v>4557.66</v>
      </c>
      <c r="F49" s="99">
        <v>5722.36</v>
      </c>
      <c r="G49" s="82">
        <v>5723</v>
      </c>
      <c r="H49" s="82">
        <v>5500</v>
      </c>
      <c r="I49" s="82">
        <v>5625</v>
      </c>
      <c r="J49" s="99">
        <v>5623.06</v>
      </c>
      <c r="K49" s="82">
        <v>5625</v>
      </c>
    </row>
    <row r="50" spans="1:11" ht="51" hidden="1">
      <c r="A50" s="115"/>
      <c r="B50" s="27">
        <v>4560</v>
      </c>
      <c r="C50" s="18" t="s">
        <v>172</v>
      </c>
      <c r="D50" s="82">
        <v>0</v>
      </c>
      <c r="E50" s="99">
        <v>0</v>
      </c>
      <c r="F50" s="99">
        <v>0</v>
      </c>
      <c r="G50" s="82">
        <v>16500</v>
      </c>
      <c r="H50" s="82">
        <v>0</v>
      </c>
      <c r="I50" s="82">
        <v>0</v>
      </c>
      <c r="J50" s="99">
        <v>0</v>
      </c>
      <c r="K50" s="82">
        <v>0</v>
      </c>
    </row>
    <row r="51" spans="1:11" ht="12.75" customHeight="1">
      <c r="A51" s="115"/>
      <c r="B51" s="27">
        <v>4590</v>
      </c>
      <c r="C51" s="18" t="s">
        <v>25</v>
      </c>
      <c r="D51" s="82">
        <v>1777</v>
      </c>
      <c r="E51" s="99">
        <v>0</v>
      </c>
      <c r="F51" s="99">
        <v>0</v>
      </c>
      <c r="G51" s="82">
        <v>0</v>
      </c>
      <c r="H51" s="82">
        <v>1000</v>
      </c>
      <c r="I51" s="82">
        <v>1000</v>
      </c>
      <c r="J51" s="99">
        <v>400</v>
      </c>
      <c r="K51" s="82">
        <v>1000</v>
      </c>
    </row>
    <row r="52" spans="1:11" ht="12.75">
      <c r="A52" s="115"/>
      <c r="B52" s="151">
        <v>6050</v>
      </c>
      <c r="C52" s="18" t="s">
        <v>26</v>
      </c>
      <c r="D52" s="82">
        <v>2191427</v>
      </c>
      <c r="E52" s="99">
        <v>4299565.54</v>
      </c>
      <c r="F52" s="99">
        <v>1104403.5</v>
      </c>
      <c r="G52" s="82">
        <v>2216927</v>
      </c>
      <c r="H52" s="82">
        <v>224429</v>
      </c>
      <c r="I52" s="82">
        <v>330698</v>
      </c>
      <c r="J52" s="99">
        <v>137145.93</v>
      </c>
      <c r="K52" s="82">
        <v>329698</v>
      </c>
    </row>
    <row r="53" spans="1:11" ht="12.75" hidden="1">
      <c r="A53" s="115"/>
      <c r="B53" s="27">
        <v>6057</v>
      </c>
      <c r="C53" s="18" t="s">
        <v>26</v>
      </c>
      <c r="D53" s="82">
        <v>0</v>
      </c>
      <c r="E53" s="99">
        <v>0</v>
      </c>
      <c r="F53" s="99">
        <v>0</v>
      </c>
      <c r="G53" s="82"/>
      <c r="H53" s="82"/>
      <c r="I53" s="82"/>
      <c r="J53" s="99">
        <v>0</v>
      </c>
      <c r="K53" s="82"/>
    </row>
    <row r="54" spans="1:11" ht="12.75" hidden="1">
      <c r="A54" s="115"/>
      <c r="B54" s="27">
        <v>6059</v>
      </c>
      <c r="C54" s="18" t="s">
        <v>26</v>
      </c>
      <c r="D54" s="82">
        <v>0</v>
      </c>
      <c r="E54" s="99">
        <v>0</v>
      </c>
      <c r="F54" s="99">
        <v>0</v>
      </c>
      <c r="G54" s="82"/>
      <c r="H54" s="82"/>
      <c r="I54" s="82"/>
      <c r="J54" s="99">
        <v>0</v>
      </c>
      <c r="K54" s="82"/>
    </row>
    <row r="55" spans="1:11" ht="51">
      <c r="A55" s="115"/>
      <c r="B55" s="27">
        <v>6660</v>
      </c>
      <c r="C55" s="18" t="s">
        <v>173</v>
      </c>
      <c r="D55" s="82">
        <v>0</v>
      </c>
      <c r="E55" s="99">
        <v>0</v>
      </c>
      <c r="F55" s="99">
        <v>0</v>
      </c>
      <c r="G55" s="82">
        <v>131700</v>
      </c>
      <c r="H55" s="82">
        <v>0</v>
      </c>
      <c r="I55" s="82">
        <v>34385</v>
      </c>
      <c r="J55" s="99">
        <v>34384.64</v>
      </c>
      <c r="K55" s="82">
        <v>34385</v>
      </c>
    </row>
    <row r="56" spans="1:11" ht="12.75">
      <c r="A56" s="114">
        <v>60078</v>
      </c>
      <c r="B56" s="26"/>
      <c r="C56" s="19" t="s">
        <v>165</v>
      </c>
      <c r="D56" s="92">
        <f aca="true" t="shared" si="10" ref="D56:J56">SUM(D57:D58)</f>
        <v>705000</v>
      </c>
      <c r="E56" s="100">
        <f t="shared" si="10"/>
        <v>0</v>
      </c>
      <c r="F56" s="100">
        <f t="shared" si="10"/>
        <v>2279.1</v>
      </c>
      <c r="G56" s="92">
        <f t="shared" si="10"/>
        <v>705000</v>
      </c>
      <c r="H56" s="92">
        <f t="shared" si="10"/>
        <v>0</v>
      </c>
      <c r="I56" s="92">
        <f t="shared" si="10"/>
        <v>222368</v>
      </c>
      <c r="J56" s="100">
        <f t="shared" si="10"/>
        <v>222366.84</v>
      </c>
      <c r="K56" s="92">
        <f>SUM(K57:K58)</f>
        <v>222368</v>
      </c>
    </row>
    <row r="57" spans="1:11" ht="12.75">
      <c r="A57" s="115"/>
      <c r="B57" s="27">
        <v>4270</v>
      </c>
      <c r="C57" s="18" t="s">
        <v>24</v>
      </c>
      <c r="D57" s="82">
        <v>670000</v>
      </c>
      <c r="E57" s="99">
        <v>0</v>
      </c>
      <c r="F57" s="99">
        <v>2279.1</v>
      </c>
      <c r="G57" s="82">
        <v>670000</v>
      </c>
      <c r="H57" s="82">
        <v>0</v>
      </c>
      <c r="I57" s="82">
        <v>216862</v>
      </c>
      <c r="J57" s="99">
        <v>216861.05</v>
      </c>
      <c r="K57" s="82">
        <v>216862</v>
      </c>
    </row>
    <row r="58" spans="1:11" ht="12.75">
      <c r="A58" s="115"/>
      <c r="B58" s="27">
        <v>4300</v>
      </c>
      <c r="C58" s="18" t="s">
        <v>15</v>
      </c>
      <c r="D58" s="82">
        <v>35000</v>
      </c>
      <c r="E58" s="99">
        <v>0</v>
      </c>
      <c r="F58" s="99">
        <v>0</v>
      </c>
      <c r="G58" s="82">
        <v>35000</v>
      </c>
      <c r="H58" s="82">
        <v>0</v>
      </c>
      <c r="I58" s="82">
        <v>5506</v>
      </c>
      <c r="J58" s="99">
        <v>5505.79</v>
      </c>
      <c r="K58" s="82">
        <v>5506</v>
      </c>
    </row>
    <row r="59" spans="1:11" ht="12.75">
      <c r="A59" s="114">
        <v>60095</v>
      </c>
      <c r="B59" s="26"/>
      <c r="C59" s="19" t="s">
        <v>13</v>
      </c>
      <c r="D59" s="92">
        <f>SUM(D62:D62)</f>
        <v>20000</v>
      </c>
      <c r="E59" s="100">
        <f>SUM(E62:E62)</f>
        <v>0</v>
      </c>
      <c r="F59" s="100">
        <f>SUM(F62:F62)</f>
        <v>0</v>
      </c>
      <c r="G59" s="92">
        <f>SUM(G62:G62)</f>
        <v>17570.01</v>
      </c>
      <c r="H59" s="92">
        <f>SUM(H60:H62)</f>
        <v>4442</v>
      </c>
      <c r="I59" s="92">
        <f>SUM(I60:I62)</f>
        <v>11887</v>
      </c>
      <c r="J59" s="100">
        <f>SUM(J60:J62)</f>
        <v>6099.389999999999</v>
      </c>
      <c r="K59" s="92">
        <f>SUM(K60:K62)</f>
        <v>11887</v>
      </c>
    </row>
    <row r="60" spans="1:11" ht="12.75">
      <c r="A60" s="114"/>
      <c r="B60" s="27">
        <v>4270</v>
      </c>
      <c r="C60" s="18" t="s">
        <v>24</v>
      </c>
      <c r="D60" s="82">
        <v>670000</v>
      </c>
      <c r="E60" s="99">
        <v>0</v>
      </c>
      <c r="F60" s="99">
        <v>2279.1</v>
      </c>
      <c r="G60" s="82">
        <v>670000</v>
      </c>
      <c r="H60" s="82">
        <v>0</v>
      </c>
      <c r="I60" s="82">
        <v>1000</v>
      </c>
      <c r="J60" s="99">
        <v>499.28</v>
      </c>
      <c r="K60" s="82">
        <v>1000</v>
      </c>
    </row>
    <row r="61" spans="1:11" ht="12.75">
      <c r="A61" s="114"/>
      <c r="B61" s="27">
        <v>4300</v>
      </c>
      <c r="C61" s="18" t="s">
        <v>15</v>
      </c>
      <c r="D61" s="92"/>
      <c r="E61" s="100"/>
      <c r="F61" s="100"/>
      <c r="G61" s="92"/>
      <c r="H61" s="81">
        <v>4442</v>
      </c>
      <c r="I61" s="81">
        <v>10887</v>
      </c>
      <c r="J61" s="101">
        <v>5600.11</v>
      </c>
      <c r="K61" s="81">
        <v>10887</v>
      </c>
    </row>
    <row r="62" spans="1:11" ht="12.75" hidden="1">
      <c r="A62" s="115"/>
      <c r="B62" s="27">
        <v>6050</v>
      </c>
      <c r="C62" s="18" t="s">
        <v>26</v>
      </c>
      <c r="D62" s="82">
        <v>20000</v>
      </c>
      <c r="E62" s="99">
        <v>0</v>
      </c>
      <c r="F62" s="99">
        <v>0</v>
      </c>
      <c r="G62" s="82">
        <v>17570.01</v>
      </c>
      <c r="H62" s="82">
        <v>0</v>
      </c>
      <c r="I62" s="82">
        <v>0</v>
      </c>
      <c r="J62" s="99">
        <v>0</v>
      </c>
      <c r="K62" s="82">
        <v>0</v>
      </c>
    </row>
    <row r="63" spans="1:11" ht="12.75">
      <c r="A63" s="113">
        <v>630</v>
      </c>
      <c r="B63" s="89"/>
      <c r="C63" s="90" t="s">
        <v>151</v>
      </c>
      <c r="D63" s="91">
        <f aca="true" t="shared" si="11" ref="D63:K63">SUM(D64)</f>
        <v>1800</v>
      </c>
      <c r="E63" s="103">
        <f t="shared" si="11"/>
        <v>5431</v>
      </c>
      <c r="F63" s="103">
        <f t="shared" si="11"/>
        <v>1723.2</v>
      </c>
      <c r="G63" s="91">
        <f t="shared" si="11"/>
        <v>1724.2</v>
      </c>
      <c r="H63" s="91">
        <f t="shared" si="11"/>
        <v>1800</v>
      </c>
      <c r="I63" s="91">
        <f t="shared" si="11"/>
        <v>1750</v>
      </c>
      <c r="J63" s="103">
        <f t="shared" si="11"/>
        <v>1731.3</v>
      </c>
      <c r="K63" s="91">
        <f t="shared" si="11"/>
        <v>1750</v>
      </c>
    </row>
    <row r="64" spans="1:11" ht="12.75">
      <c r="A64" s="114">
        <v>63095</v>
      </c>
      <c r="B64" s="26"/>
      <c r="C64" s="19" t="s">
        <v>13</v>
      </c>
      <c r="D64" s="92">
        <f aca="true" t="shared" si="12" ref="D64:K64">D65</f>
        <v>1800</v>
      </c>
      <c r="E64" s="100">
        <f t="shared" si="12"/>
        <v>5431</v>
      </c>
      <c r="F64" s="100">
        <f t="shared" si="12"/>
        <v>1723.2</v>
      </c>
      <c r="G64" s="92">
        <f t="shared" si="12"/>
        <v>1724.2</v>
      </c>
      <c r="H64" s="92">
        <f t="shared" si="12"/>
        <v>1800</v>
      </c>
      <c r="I64" s="92">
        <f t="shared" si="12"/>
        <v>1750</v>
      </c>
      <c r="J64" s="100">
        <f t="shared" si="12"/>
        <v>1731.3</v>
      </c>
      <c r="K64" s="92">
        <f t="shared" si="12"/>
        <v>1750</v>
      </c>
    </row>
    <row r="65" spans="1:11" ht="12.75">
      <c r="A65" s="115"/>
      <c r="B65" s="27">
        <v>4430</v>
      </c>
      <c r="C65" s="18" t="s">
        <v>16</v>
      </c>
      <c r="D65" s="82">
        <v>1800</v>
      </c>
      <c r="E65" s="99">
        <v>5431</v>
      </c>
      <c r="F65" s="99">
        <v>1723.2</v>
      </c>
      <c r="G65" s="82">
        <v>1724.2</v>
      </c>
      <c r="H65" s="82">
        <v>1800</v>
      </c>
      <c r="I65" s="82">
        <v>1750</v>
      </c>
      <c r="J65" s="99">
        <v>1731.3</v>
      </c>
      <c r="K65" s="82">
        <v>1750</v>
      </c>
    </row>
    <row r="66" spans="1:11" ht="12.75">
      <c r="A66" s="113">
        <v>700</v>
      </c>
      <c r="B66" s="89"/>
      <c r="C66" s="90" t="s">
        <v>27</v>
      </c>
      <c r="D66" s="91">
        <f aca="true" t="shared" si="13" ref="D66:J66">SUM(D67,D77)</f>
        <v>689860</v>
      </c>
      <c r="E66" s="103">
        <f t="shared" si="13"/>
        <v>377795.1</v>
      </c>
      <c r="F66" s="103">
        <f t="shared" si="13"/>
        <v>123600.44000000002</v>
      </c>
      <c r="G66" s="91">
        <f t="shared" si="13"/>
        <v>231710</v>
      </c>
      <c r="H66" s="91">
        <f t="shared" si="13"/>
        <v>74100</v>
      </c>
      <c r="I66" s="91">
        <f t="shared" si="13"/>
        <v>75400</v>
      </c>
      <c r="J66" s="103">
        <f t="shared" si="13"/>
        <v>14471.96</v>
      </c>
      <c r="K66" s="91">
        <f>SUM(K67,K77)</f>
        <v>93900</v>
      </c>
    </row>
    <row r="67" spans="1:11" ht="12.75">
      <c r="A67" s="114">
        <v>70005</v>
      </c>
      <c r="B67" s="26"/>
      <c r="C67" s="19" t="s">
        <v>28</v>
      </c>
      <c r="D67" s="92">
        <f aca="true" t="shared" si="14" ref="D67:J67">SUM(D68:D76)</f>
        <v>679860</v>
      </c>
      <c r="E67" s="100">
        <f t="shared" si="14"/>
        <v>375290.5</v>
      </c>
      <c r="F67" s="100">
        <f t="shared" si="14"/>
        <v>119462.06000000001</v>
      </c>
      <c r="G67" s="92">
        <f t="shared" si="14"/>
        <v>226110</v>
      </c>
      <c r="H67" s="92">
        <f t="shared" si="14"/>
        <v>68400</v>
      </c>
      <c r="I67" s="92">
        <f t="shared" si="14"/>
        <v>69700</v>
      </c>
      <c r="J67" s="100">
        <f t="shared" si="14"/>
        <v>13158.83</v>
      </c>
      <c r="K67" s="92">
        <f>SUM(K68:K76)</f>
        <v>88200</v>
      </c>
    </row>
    <row r="68" spans="1:11" ht="12.75">
      <c r="A68" s="114"/>
      <c r="B68" s="27">
        <v>4170</v>
      </c>
      <c r="C68" s="18" t="s">
        <v>42</v>
      </c>
      <c r="D68" s="82">
        <v>700</v>
      </c>
      <c r="E68" s="99">
        <v>500</v>
      </c>
      <c r="F68" s="99">
        <v>500</v>
      </c>
      <c r="G68" s="82">
        <v>500</v>
      </c>
      <c r="H68" s="82">
        <v>600</v>
      </c>
      <c r="I68" s="82">
        <v>2400</v>
      </c>
      <c r="J68" s="99">
        <v>1800</v>
      </c>
      <c r="K68" s="82">
        <v>20400</v>
      </c>
    </row>
    <row r="69" spans="1:11" ht="12.75">
      <c r="A69" s="114"/>
      <c r="B69" s="27">
        <v>4210</v>
      </c>
      <c r="C69" s="18" t="s">
        <v>14</v>
      </c>
      <c r="D69" s="82">
        <v>7000</v>
      </c>
      <c r="E69" s="99">
        <v>0</v>
      </c>
      <c r="F69" s="99">
        <v>191.05</v>
      </c>
      <c r="G69" s="82">
        <v>200</v>
      </c>
      <c r="H69" s="82">
        <v>200</v>
      </c>
      <c r="I69" s="82">
        <v>200</v>
      </c>
      <c r="J69" s="99">
        <v>0</v>
      </c>
      <c r="K69" s="82">
        <v>200</v>
      </c>
    </row>
    <row r="70" spans="1:11" ht="12.75">
      <c r="A70" s="114"/>
      <c r="B70" s="27">
        <v>4260</v>
      </c>
      <c r="C70" s="18" t="s">
        <v>43</v>
      </c>
      <c r="D70" s="82">
        <v>11000</v>
      </c>
      <c r="E70" s="99">
        <v>11534.28</v>
      </c>
      <c r="F70" s="99">
        <v>8571.91</v>
      </c>
      <c r="G70" s="93">
        <v>11500</v>
      </c>
      <c r="H70" s="82">
        <v>11500</v>
      </c>
      <c r="I70" s="82">
        <v>3000</v>
      </c>
      <c r="J70" s="99">
        <v>1310.64</v>
      </c>
      <c r="K70" s="82">
        <v>3000</v>
      </c>
    </row>
    <row r="71" spans="1:11" ht="12.75">
      <c r="A71" s="114"/>
      <c r="B71" s="27">
        <v>4270</v>
      </c>
      <c r="C71" s="18" t="s">
        <v>24</v>
      </c>
      <c r="D71" s="82">
        <v>7000</v>
      </c>
      <c r="E71" s="99">
        <v>11073.98</v>
      </c>
      <c r="F71" s="99">
        <v>5821.73</v>
      </c>
      <c r="G71" s="82">
        <v>7000</v>
      </c>
      <c r="H71" s="82">
        <v>5000</v>
      </c>
      <c r="I71" s="82">
        <v>500</v>
      </c>
      <c r="J71" s="99">
        <v>0</v>
      </c>
      <c r="K71" s="82">
        <v>15500</v>
      </c>
    </row>
    <row r="72" spans="1:11" ht="12.75">
      <c r="A72" s="115"/>
      <c r="B72" s="27">
        <v>4300</v>
      </c>
      <c r="C72" s="18" t="s">
        <v>15</v>
      </c>
      <c r="D72" s="82">
        <v>78000</v>
      </c>
      <c r="E72" s="99">
        <v>61035.24</v>
      </c>
      <c r="F72" s="99">
        <v>21029.81</v>
      </c>
      <c r="G72" s="93">
        <v>28100</v>
      </c>
      <c r="H72" s="82">
        <v>28600</v>
      </c>
      <c r="I72" s="82">
        <v>51600</v>
      </c>
      <c r="J72" s="99">
        <v>6878.19</v>
      </c>
      <c r="K72" s="82">
        <v>40100</v>
      </c>
    </row>
    <row r="73" spans="1:11" ht="13.5" customHeight="1">
      <c r="A73" s="115"/>
      <c r="B73" s="27">
        <v>4590</v>
      </c>
      <c r="C73" s="18" t="s">
        <v>25</v>
      </c>
      <c r="D73" s="82">
        <v>491990</v>
      </c>
      <c r="E73" s="99">
        <v>282843</v>
      </c>
      <c r="F73" s="99">
        <v>59865.48</v>
      </c>
      <c r="G73" s="93">
        <v>154000</v>
      </c>
      <c r="H73" s="93">
        <v>20000</v>
      </c>
      <c r="I73" s="93">
        <v>2000</v>
      </c>
      <c r="J73" s="99">
        <v>0</v>
      </c>
      <c r="K73" s="93">
        <v>500</v>
      </c>
    </row>
    <row r="74" spans="1:11" ht="13.5" customHeight="1">
      <c r="A74" s="115"/>
      <c r="B74" s="27">
        <v>4610</v>
      </c>
      <c r="C74" s="18" t="s">
        <v>139</v>
      </c>
      <c r="D74" s="82">
        <v>2500</v>
      </c>
      <c r="E74" s="99">
        <v>1650</v>
      </c>
      <c r="F74" s="99">
        <v>1200</v>
      </c>
      <c r="G74" s="82">
        <v>2500</v>
      </c>
      <c r="H74" s="82">
        <v>2500</v>
      </c>
      <c r="I74" s="82">
        <v>10000</v>
      </c>
      <c r="J74" s="99">
        <v>3170</v>
      </c>
      <c r="K74" s="82">
        <v>8500</v>
      </c>
    </row>
    <row r="75" spans="1:11" ht="13.5" customHeight="1" hidden="1">
      <c r="A75" s="115"/>
      <c r="B75" s="145">
        <v>6050</v>
      </c>
      <c r="C75" s="18" t="s">
        <v>26</v>
      </c>
      <c r="D75" s="82">
        <v>73660</v>
      </c>
      <c r="E75" s="99">
        <v>6654</v>
      </c>
      <c r="F75" s="99">
        <v>14274</v>
      </c>
      <c r="G75" s="82">
        <v>14300</v>
      </c>
      <c r="H75" s="82">
        <v>0</v>
      </c>
      <c r="I75" s="82">
        <v>0</v>
      </c>
      <c r="J75" s="99"/>
      <c r="K75" s="82">
        <v>0</v>
      </c>
    </row>
    <row r="76" spans="1:11" ht="13.5" customHeight="1" hidden="1">
      <c r="A76" s="115"/>
      <c r="B76" s="145">
        <v>6060</v>
      </c>
      <c r="C76" s="18" t="s">
        <v>61</v>
      </c>
      <c r="D76" s="82">
        <v>8010</v>
      </c>
      <c r="E76" s="99">
        <v>0</v>
      </c>
      <c r="F76" s="99">
        <v>8008.08</v>
      </c>
      <c r="G76" s="82">
        <v>8010</v>
      </c>
      <c r="H76" s="82">
        <v>0</v>
      </c>
      <c r="I76" s="82">
        <v>0</v>
      </c>
      <c r="J76" s="99"/>
      <c r="K76" s="82">
        <v>0</v>
      </c>
    </row>
    <row r="77" spans="1:11" ht="12.75">
      <c r="A77" s="114">
        <v>70095</v>
      </c>
      <c r="B77" s="26"/>
      <c r="C77" s="19" t="s">
        <v>13</v>
      </c>
      <c r="D77" s="92">
        <f aca="true" t="shared" si="15" ref="D77:K77">SUM(D78:D78)</f>
        <v>10000</v>
      </c>
      <c r="E77" s="100">
        <f t="shared" si="15"/>
        <v>2504.6</v>
      </c>
      <c r="F77" s="100">
        <f t="shared" si="15"/>
        <v>4138.38</v>
      </c>
      <c r="G77" s="100">
        <f t="shared" si="15"/>
        <v>5600</v>
      </c>
      <c r="H77" s="92">
        <f t="shared" si="15"/>
        <v>5700</v>
      </c>
      <c r="I77" s="92">
        <f t="shared" si="15"/>
        <v>5700</v>
      </c>
      <c r="J77" s="100">
        <f t="shared" si="15"/>
        <v>1313.13</v>
      </c>
      <c r="K77" s="92">
        <f t="shared" si="15"/>
        <v>5700</v>
      </c>
    </row>
    <row r="78" spans="1:11" ht="12.75">
      <c r="A78" s="115"/>
      <c r="B78" s="27">
        <v>4300</v>
      </c>
      <c r="C78" s="18" t="s">
        <v>15</v>
      </c>
      <c r="D78" s="82">
        <v>10000</v>
      </c>
      <c r="E78" s="99">
        <v>2504.6</v>
      </c>
      <c r="F78" s="99">
        <v>4138.38</v>
      </c>
      <c r="G78" s="82">
        <v>5600</v>
      </c>
      <c r="H78" s="82">
        <v>5700</v>
      </c>
      <c r="I78" s="82">
        <v>5700</v>
      </c>
      <c r="J78" s="99">
        <v>1313.13</v>
      </c>
      <c r="K78" s="82">
        <v>5700</v>
      </c>
    </row>
    <row r="79" spans="1:11" ht="12.75">
      <c r="A79" s="113">
        <v>710</v>
      </c>
      <c r="B79" s="89"/>
      <c r="C79" s="90" t="s">
        <v>29</v>
      </c>
      <c r="D79" s="91">
        <f aca="true" t="shared" si="16" ref="D79:J79">SUM(D80,D83,D85)</f>
        <v>78005</v>
      </c>
      <c r="E79" s="103">
        <f t="shared" si="16"/>
        <v>392.72</v>
      </c>
      <c r="F79" s="103">
        <f t="shared" si="16"/>
        <v>1678.29</v>
      </c>
      <c r="G79" s="91">
        <f t="shared" si="16"/>
        <v>72250</v>
      </c>
      <c r="H79" s="91">
        <f t="shared" si="16"/>
        <v>7450</v>
      </c>
      <c r="I79" s="91">
        <f t="shared" si="16"/>
        <v>66450</v>
      </c>
      <c r="J79" s="103">
        <f t="shared" si="16"/>
        <v>1288.04</v>
      </c>
      <c r="K79" s="91">
        <f>SUM(K80,K83,K85)</f>
        <v>45950</v>
      </c>
    </row>
    <row r="80" spans="1:11" ht="12.75">
      <c r="A80" s="114">
        <v>71004</v>
      </c>
      <c r="B80" s="26"/>
      <c r="C80" s="19" t="s">
        <v>30</v>
      </c>
      <c r="D80" s="92">
        <f aca="true" t="shared" si="17" ref="D80:J80">SUM(D81:D82)</f>
        <v>70750</v>
      </c>
      <c r="E80" s="100">
        <f t="shared" si="17"/>
        <v>0</v>
      </c>
      <c r="F80" s="100">
        <f t="shared" si="17"/>
        <v>750</v>
      </c>
      <c r="G80" s="92">
        <f t="shared" si="17"/>
        <v>70750</v>
      </c>
      <c r="H80" s="92">
        <f t="shared" si="17"/>
        <v>5750</v>
      </c>
      <c r="I80" s="92">
        <f t="shared" si="17"/>
        <v>64750</v>
      </c>
      <c r="J80" s="100">
        <f t="shared" si="17"/>
        <v>750</v>
      </c>
      <c r="K80" s="92">
        <f>SUM(K81:K82)</f>
        <v>44250</v>
      </c>
    </row>
    <row r="81" spans="1:11" ht="12.75">
      <c r="A81" s="114"/>
      <c r="B81" s="27">
        <v>4170</v>
      </c>
      <c r="C81" s="18" t="s">
        <v>42</v>
      </c>
      <c r="D81" s="81">
        <v>750</v>
      </c>
      <c r="E81" s="101">
        <v>0</v>
      </c>
      <c r="F81" s="101">
        <v>750</v>
      </c>
      <c r="G81" s="81">
        <v>750</v>
      </c>
      <c r="H81" s="81">
        <v>750</v>
      </c>
      <c r="I81" s="81">
        <v>64750</v>
      </c>
      <c r="J81" s="101">
        <v>750</v>
      </c>
      <c r="K81" s="81">
        <v>16500</v>
      </c>
    </row>
    <row r="82" spans="1:11" ht="12.75">
      <c r="A82" s="115"/>
      <c r="B82" s="27">
        <v>4300</v>
      </c>
      <c r="C82" s="18" t="s">
        <v>15</v>
      </c>
      <c r="D82" s="82">
        <v>70000</v>
      </c>
      <c r="E82" s="99">
        <v>0</v>
      </c>
      <c r="F82" s="99">
        <v>0</v>
      </c>
      <c r="G82" s="93">
        <v>70000</v>
      </c>
      <c r="H82" s="82">
        <v>5000</v>
      </c>
      <c r="I82" s="82">
        <v>0</v>
      </c>
      <c r="J82" s="99">
        <v>0</v>
      </c>
      <c r="K82" s="82">
        <v>27750</v>
      </c>
    </row>
    <row r="83" spans="1:11" ht="25.5">
      <c r="A83" s="114">
        <v>71013</v>
      </c>
      <c r="B83" s="26"/>
      <c r="C83" s="19" t="s">
        <v>31</v>
      </c>
      <c r="D83" s="92">
        <f aca="true" t="shared" si="18" ref="D83:K83">SUM(D84)</f>
        <v>3005</v>
      </c>
      <c r="E83" s="100">
        <f t="shared" si="18"/>
        <v>0</v>
      </c>
      <c r="F83" s="100">
        <f t="shared" si="18"/>
        <v>0</v>
      </c>
      <c r="G83" s="92">
        <f t="shared" si="18"/>
        <v>500</v>
      </c>
      <c r="H83" s="92">
        <f t="shared" si="18"/>
        <v>600</v>
      </c>
      <c r="I83" s="92">
        <f t="shared" si="18"/>
        <v>600</v>
      </c>
      <c r="J83" s="100">
        <f t="shared" si="18"/>
        <v>0</v>
      </c>
      <c r="K83" s="92">
        <f t="shared" si="18"/>
        <v>600</v>
      </c>
    </row>
    <row r="84" spans="1:11" ht="12.75">
      <c r="A84" s="115"/>
      <c r="B84" s="27">
        <v>4300</v>
      </c>
      <c r="C84" s="18" t="s">
        <v>15</v>
      </c>
      <c r="D84" s="82">
        <v>3005</v>
      </c>
      <c r="E84" s="99">
        <v>0</v>
      </c>
      <c r="F84" s="99">
        <v>0</v>
      </c>
      <c r="G84" s="82">
        <v>500</v>
      </c>
      <c r="H84" s="82">
        <v>600</v>
      </c>
      <c r="I84" s="82">
        <v>600</v>
      </c>
      <c r="J84" s="99">
        <v>0</v>
      </c>
      <c r="K84" s="82">
        <v>600</v>
      </c>
    </row>
    <row r="85" spans="1:11" ht="12.75">
      <c r="A85" s="114">
        <v>71095</v>
      </c>
      <c r="B85" s="26"/>
      <c r="C85" s="19" t="s">
        <v>13</v>
      </c>
      <c r="D85" s="92">
        <f aca="true" t="shared" si="19" ref="D85:K85">SUM(D86)</f>
        <v>4250</v>
      </c>
      <c r="E85" s="100">
        <f t="shared" si="19"/>
        <v>392.72</v>
      </c>
      <c r="F85" s="100">
        <f t="shared" si="19"/>
        <v>928.29</v>
      </c>
      <c r="G85" s="92">
        <f t="shared" si="19"/>
        <v>1000</v>
      </c>
      <c r="H85" s="92">
        <f t="shared" si="19"/>
        <v>1100</v>
      </c>
      <c r="I85" s="92">
        <f t="shared" si="19"/>
        <v>1100</v>
      </c>
      <c r="J85" s="100">
        <f t="shared" si="19"/>
        <v>538.04</v>
      </c>
      <c r="K85" s="92">
        <f t="shared" si="19"/>
        <v>1100</v>
      </c>
    </row>
    <row r="86" spans="1:11" ht="12.75">
      <c r="A86" s="115"/>
      <c r="B86" s="27">
        <v>4300</v>
      </c>
      <c r="C86" s="18" t="s">
        <v>15</v>
      </c>
      <c r="D86" s="82">
        <v>4250</v>
      </c>
      <c r="E86" s="99">
        <v>392.72</v>
      </c>
      <c r="F86" s="99">
        <v>928.29</v>
      </c>
      <c r="G86" s="82">
        <v>1000</v>
      </c>
      <c r="H86" s="82">
        <v>1100</v>
      </c>
      <c r="I86" s="82">
        <v>1100</v>
      </c>
      <c r="J86" s="99">
        <v>538.04</v>
      </c>
      <c r="K86" s="82">
        <v>1100</v>
      </c>
    </row>
    <row r="87" spans="1:11" ht="12.75">
      <c r="A87" s="113">
        <v>750</v>
      </c>
      <c r="B87" s="89"/>
      <c r="C87" s="90" t="s">
        <v>32</v>
      </c>
      <c r="D87" s="91">
        <f aca="true" t="shared" si="20" ref="D87:J87">SUM(D88,D95,D122,D127)</f>
        <v>3132868</v>
      </c>
      <c r="E87" s="103">
        <f t="shared" si="20"/>
        <v>3429631.08</v>
      </c>
      <c r="F87" s="103">
        <f t="shared" si="20"/>
        <v>2198263.6099999994</v>
      </c>
      <c r="G87" s="91">
        <f t="shared" si="20"/>
        <v>3048520.74</v>
      </c>
      <c r="H87" s="91">
        <f t="shared" si="20"/>
        <v>2901648</v>
      </c>
      <c r="I87" s="91">
        <f t="shared" si="20"/>
        <v>2923346</v>
      </c>
      <c r="J87" s="103">
        <f t="shared" si="20"/>
        <v>2244403.88</v>
      </c>
      <c r="K87" s="91">
        <f>SUM(K88,K95,K122,K127)</f>
        <v>2957503</v>
      </c>
    </row>
    <row r="88" spans="1:11" ht="12.75">
      <c r="A88" s="114">
        <v>75022</v>
      </c>
      <c r="B88" s="26"/>
      <c r="C88" s="19" t="s">
        <v>33</v>
      </c>
      <c r="D88" s="92">
        <f aca="true" t="shared" si="21" ref="D88:J88">SUM(D89:D94)</f>
        <v>158500</v>
      </c>
      <c r="E88" s="100">
        <f t="shared" si="21"/>
        <v>137708.52</v>
      </c>
      <c r="F88" s="100">
        <f t="shared" si="21"/>
        <v>115325.6</v>
      </c>
      <c r="G88" s="92">
        <f t="shared" si="21"/>
        <v>153940.74</v>
      </c>
      <c r="H88" s="92">
        <f t="shared" si="21"/>
        <v>143500</v>
      </c>
      <c r="I88" s="92">
        <f t="shared" si="21"/>
        <v>139600</v>
      </c>
      <c r="J88" s="100">
        <f t="shared" si="21"/>
        <v>86318.26000000001</v>
      </c>
      <c r="K88" s="92">
        <f>SUM(K89:K94)</f>
        <v>139600</v>
      </c>
    </row>
    <row r="89" spans="1:11" ht="12.75">
      <c r="A89" s="115"/>
      <c r="B89" s="27">
        <v>3030</v>
      </c>
      <c r="C89" s="18" t="s">
        <v>34</v>
      </c>
      <c r="D89" s="82">
        <v>138000</v>
      </c>
      <c r="E89" s="99">
        <v>133415.8</v>
      </c>
      <c r="F89" s="99">
        <v>99848.59</v>
      </c>
      <c r="G89" s="82">
        <v>135000</v>
      </c>
      <c r="H89" s="93">
        <v>138000</v>
      </c>
      <c r="I89" s="93">
        <v>134100</v>
      </c>
      <c r="J89" s="99">
        <v>84781.59</v>
      </c>
      <c r="K89" s="93">
        <v>133350</v>
      </c>
    </row>
    <row r="90" spans="1:11" ht="12.75">
      <c r="A90" s="115"/>
      <c r="B90" s="27">
        <v>4210</v>
      </c>
      <c r="C90" s="18" t="s">
        <v>14</v>
      </c>
      <c r="D90" s="82">
        <v>4500</v>
      </c>
      <c r="E90" s="99">
        <v>3955.76</v>
      </c>
      <c r="F90" s="99">
        <v>1516.27</v>
      </c>
      <c r="G90" s="82">
        <v>4500</v>
      </c>
      <c r="H90" s="82">
        <v>4500</v>
      </c>
      <c r="I90" s="82">
        <v>4500</v>
      </c>
      <c r="J90" s="99">
        <v>775.6</v>
      </c>
      <c r="K90" s="82">
        <v>4500</v>
      </c>
    </row>
    <row r="91" spans="1:11" ht="12.75">
      <c r="A91" s="115"/>
      <c r="B91" s="27">
        <v>4300</v>
      </c>
      <c r="C91" s="18" t="s">
        <v>15</v>
      </c>
      <c r="D91" s="82">
        <v>1000</v>
      </c>
      <c r="E91" s="99">
        <v>315</v>
      </c>
      <c r="F91" s="99">
        <v>520</v>
      </c>
      <c r="G91" s="82">
        <v>1000</v>
      </c>
      <c r="H91" s="82">
        <v>1000</v>
      </c>
      <c r="I91" s="82">
        <v>1000</v>
      </c>
      <c r="J91" s="99">
        <v>761.07</v>
      </c>
      <c r="K91" s="82">
        <v>1750</v>
      </c>
    </row>
    <row r="92" spans="1:11" ht="12.75" hidden="1">
      <c r="A92" s="115"/>
      <c r="B92" s="27">
        <v>4430</v>
      </c>
      <c r="C92" s="18" t="s">
        <v>16</v>
      </c>
      <c r="D92" s="82">
        <v>0</v>
      </c>
      <c r="E92" s="99">
        <v>0</v>
      </c>
      <c r="F92" s="99">
        <v>0</v>
      </c>
      <c r="G92" s="82">
        <v>0</v>
      </c>
      <c r="H92" s="82">
        <f>F92+E92</f>
        <v>0</v>
      </c>
      <c r="I92" s="82">
        <f>G92+F92</f>
        <v>0</v>
      </c>
      <c r="J92" s="99">
        <v>0</v>
      </c>
      <c r="K92" s="82">
        <f>I92+H92</f>
        <v>0</v>
      </c>
    </row>
    <row r="93" spans="1:11" ht="15" customHeight="1" hidden="1">
      <c r="A93" s="115"/>
      <c r="B93" s="27">
        <v>4750</v>
      </c>
      <c r="C93" s="18" t="s">
        <v>53</v>
      </c>
      <c r="D93" s="82">
        <v>0</v>
      </c>
      <c r="E93" s="99">
        <v>21.96</v>
      </c>
      <c r="F93" s="99">
        <v>0</v>
      </c>
      <c r="G93" s="82">
        <v>0</v>
      </c>
      <c r="H93" s="82">
        <v>0</v>
      </c>
      <c r="I93" s="82">
        <v>0</v>
      </c>
      <c r="J93" s="99">
        <v>0</v>
      </c>
      <c r="K93" s="82">
        <v>0</v>
      </c>
    </row>
    <row r="94" spans="1:11" ht="15" customHeight="1" hidden="1">
      <c r="A94" s="115"/>
      <c r="B94" s="145">
        <v>6050</v>
      </c>
      <c r="C94" s="18" t="s">
        <v>26</v>
      </c>
      <c r="D94" s="82">
        <v>15000</v>
      </c>
      <c r="E94" s="99">
        <v>0</v>
      </c>
      <c r="F94" s="99">
        <v>13440.74</v>
      </c>
      <c r="G94" s="82">
        <v>13440.74</v>
      </c>
      <c r="H94" s="82">
        <v>0</v>
      </c>
      <c r="I94" s="82">
        <v>0</v>
      </c>
      <c r="J94" s="99">
        <v>0</v>
      </c>
      <c r="K94" s="82">
        <v>0</v>
      </c>
    </row>
    <row r="95" spans="1:11" ht="12.75">
      <c r="A95" s="114">
        <v>75023</v>
      </c>
      <c r="B95" s="26"/>
      <c r="C95" s="19" t="s">
        <v>35</v>
      </c>
      <c r="D95" s="92">
        <f aca="true" t="shared" si="22" ref="D95:J95">SUM(D96:D121)</f>
        <v>2859768</v>
      </c>
      <c r="E95" s="100">
        <f t="shared" si="22"/>
        <v>3202088.25</v>
      </c>
      <c r="F95" s="100">
        <f t="shared" si="22"/>
        <v>2011157.43</v>
      </c>
      <c r="G95" s="92">
        <f t="shared" si="22"/>
        <v>2789160</v>
      </c>
      <c r="H95" s="92">
        <f t="shared" si="22"/>
        <v>2700899</v>
      </c>
      <c r="I95" s="92">
        <f t="shared" si="22"/>
        <v>2718097</v>
      </c>
      <c r="J95" s="100">
        <f t="shared" si="22"/>
        <v>2105977.7</v>
      </c>
      <c r="K95" s="92">
        <f>SUM(K96:K121)</f>
        <v>2744054</v>
      </c>
    </row>
    <row r="96" spans="1:11" ht="12.75">
      <c r="A96" s="115"/>
      <c r="B96" s="27">
        <v>3020</v>
      </c>
      <c r="C96" s="18" t="s">
        <v>36</v>
      </c>
      <c r="D96" s="82">
        <v>16500</v>
      </c>
      <c r="E96" s="99">
        <v>17781.36</v>
      </c>
      <c r="F96" s="99">
        <v>7939.55</v>
      </c>
      <c r="G96" s="82">
        <v>16500</v>
      </c>
      <c r="H96" s="93">
        <v>16500</v>
      </c>
      <c r="I96" s="93">
        <v>16500</v>
      </c>
      <c r="J96" s="99">
        <v>6331.36</v>
      </c>
      <c r="K96" s="93">
        <v>13500</v>
      </c>
    </row>
    <row r="97" spans="1:11" ht="12.75">
      <c r="A97" s="115"/>
      <c r="B97" s="27">
        <v>4010</v>
      </c>
      <c r="C97" s="18" t="s">
        <v>37</v>
      </c>
      <c r="D97" s="82">
        <v>1663268</v>
      </c>
      <c r="E97" s="99">
        <v>1629042.75</v>
      </c>
      <c r="F97" s="99">
        <v>1187069.29</v>
      </c>
      <c r="G97" s="82">
        <v>1675803</v>
      </c>
      <c r="H97" s="93">
        <v>1676000</v>
      </c>
      <c r="I97" s="93">
        <v>1621700</v>
      </c>
      <c r="J97" s="99">
        <v>1242120.32</v>
      </c>
      <c r="K97" s="93">
        <v>1621700</v>
      </c>
    </row>
    <row r="98" spans="1:11" ht="12.75">
      <c r="A98" s="115"/>
      <c r="B98" s="27">
        <v>4040</v>
      </c>
      <c r="C98" s="18" t="s">
        <v>38</v>
      </c>
      <c r="D98" s="82">
        <v>141387</v>
      </c>
      <c r="E98" s="99">
        <v>108968.87</v>
      </c>
      <c r="F98" s="99">
        <v>128851.18</v>
      </c>
      <c r="G98" s="82">
        <v>128852</v>
      </c>
      <c r="H98" s="93">
        <v>129000</v>
      </c>
      <c r="I98" s="93">
        <v>133300</v>
      </c>
      <c r="J98" s="99">
        <v>133212.11</v>
      </c>
      <c r="K98" s="93">
        <v>133300</v>
      </c>
    </row>
    <row r="99" spans="1:11" ht="12.75">
      <c r="A99" s="115"/>
      <c r="B99" s="27">
        <v>4110</v>
      </c>
      <c r="C99" s="18" t="s">
        <v>39</v>
      </c>
      <c r="D99" s="82">
        <v>268120</v>
      </c>
      <c r="E99" s="99">
        <v>245986.48</v>
      </c>
      <c r="F99" s="99">
        <v>178018.32</v>
      </c>
      <c r="G99" s="82">
        <v>268120</v>
      </c>
      <c r="H99" s="93">
        <f>277497-9377</f>
        <v>268120</v>
      </c>
      <c r="I99" s="93">
        <f>277497-9377</f>
        <v>268120</v>
      </c>
      <c r="J99" s="99">
        <v>182374.2</v>
      </c>
      <c r="K99" s="93">
        <f>277497-9377</f>
        <v>268120</v>
      </c>
    </row>
    <row r="100" spans="1:11" ht="12.75">
      <c r="A100" s="115"/>
      <c r="B100" s="27">
        <v>4120</v>
      </c>
      <c r="C100" s="18" t="s">
        <v>40</v>
      </c>
      <c r="D100" s="82">
        <v>43579</v>
      </c>
      <c r="E100" s="99">
        <v>39399.99</v>
      </c>
      <c r="F100" s="99">
        <v>23688.6</v>
      </c>
      <c r="G100" s="82">
        <v>43579</v>
      </c>
      <c r="H100" s="93">
        <f>45100-1521</f>
        <v>43579</v>
      </c>
      <c r="I100" s="93">
        <f>45100-1521</f>
        <v>43579</v>
      </c>
      <c r="J100" s="99">
        <v>20427.72</v>
      </c>
      <c r="K100" s="93">
        <f>45100-1521</f>
        <v>43579</v>
      </c>
    </row>
    <row r="101" spans="1:11" ht="25.5">
      <c r="A101" s="115"/>
      <c r="B101" s="27">
        <v>4140</v>
      </c>
      <c r="C101" s="18" t="s">
        <v>41</v>
      </c>
      <c r="D101" s="82">
        <v>27000</v>
      </c>
      <c r="E101" s="99">
        <v>25194</v>
      </c>
      <c r="F101" s="99">
        <v>22997</v>
      </c>
      <c r="G101" s="93">
        <v>35000</v>
      </c>
      <c r="H101" s="82">
        <v>35000</v>
      </c>
      <c r="I101" s="82">
        <v>35000</v>
      </c>
      <c r="J101" s="99">
        <v>18433</v>
      </c>
      <c r="K101" s="82">
        <v>33000</v>
      </c>
    </row>
    <row r="102" spans="1:11" ht="12.75">
      <c r="A102" s="115"/>
      <c r="B102" s="27">
        <v>4170</v>
      </c>
      <c r="C102" s="18" t="s">
        <v>42</v>
      </c>
      <c r="D102" s="82">
        <v>18000</v>
      </c>
      <c r="E102" s="99">
        <v>4655</v>
      </c>
      <c r="F102" s="99">
        <v>7310</v>
      </c>
      <c r="G102" s="93">
        <v>16000</v>
      </c>
      <c r="H102" s="82">
        <v>16000</v>
      </c>
      <c r="I102" s="82">
        <v>11495</v>
      </c>
      <c r="J102" s="99">
        <v>0</v>
      </c>
      <c r="K102" s="82">
        <v>11495</v>
      </c>
    </row>
    <row r="103" spans="1:11" ht="12.75">
      <c r="A103" s="115"/>
      <c r="B103" s="27">
        <v>4210</v>
      </c>
      <c r="C103" s="18" t="s">
        <v>14</v>
      </c>
      <c r="D103" s="82">
        <v>140000</v>
      </c>
      <c r="E103" s="99">
        <v>149000.52</v>
      </c>
      <c r="F103" s="99">
        <v>94442.51</v>
      </c>
      <c r="G103" s="93">
        <v>126000</v>
      </c>
      <c r="H103" s="82">
        <v>155500</v>
      </c>
      <c r="I103" s="82">
        <v>183052</v>
      </c>
      <c r="J103" s="99">
        <v>164351.05</v>
      </c>
      <c r="K103" s="82">
        <v>185852</v>
      </c>
    </row>
    <row r="104" spans="1:11" ht="12.75">
      <c r="A104" s="115"/>
      <c r="B104" s="27">
        <v>4240</v>
      </c>
      <c r="C104" s="18" t="s">
        <v>74</v>
      </c>
      <c r="D104" s="82">
        <v>15000</v>
      </c>
      <c r="E104" s="99">
        <v>16458.83</v>
      </c>
      <c r="F104" s="99">
        <v>9087.68</v>
      </c>
      <c r="G104" s="82">
        <v>15000</v>
      </c>
      <c r="H104" s="82">
        <v>14000</v>
      </c>
      <c r="I104" s="82">
        <v>14000</v>
      </c>
      <c r="J104" s="99">
        <v>4434.31</v>
      </c>
      <c r="K104" s="82">
        <v>14000</v>
      </c>
    </row>
    <row r="105" spans="1:11" ht="12.75">
      <c r="A105" s="115"/>
      <c r="B105" s="27">
        <v>4260</v>
      </c>
      <c r="C105" s="18" t="s">
        <v>43</v>
      </c>
      <c r="D105" s="82">
        <v>33000</v>
      </c>
      <c r="E105" s="99">
        <v>28930.64</v>
      </c>
      <c r="F105" s="99">
        <v>21189.63</v>
      </c>
      <c r="G105" s="82">
        <v>30000</v>
      </c>
      <c r="H105" s="82">
        <v>30000</v>
      </c>
      <c r="I105" s="82">
        <v>30000</v>
      </c>
      <c r="J105" s="99">
        <v>22002.14</v>
      </c>
      <c r="K105" s="82">
        <v>30000</v>
      </c>
    </row>
    <row r="106" spans="1:11" ht="12.75">
      <c r="A106" s="115"/>
      <c r="B106" s="27">
        <v>4270</v>
      </c>
      <c r="C106" s="18" t="s">
        <v>24</v>
      </c>
      <c r="D106" s="82">
        <v>17600</v>
      </c>
      <c r="E106" s="99">
        <v>13427.14</v>
      </c>
      <c r="F106" s="99">
        <v>15698.43</v>
      </c>
      <c r="G106" s="93">
        <v>19100</v>
      </c>
      <c r="H106" s="82">
        <v>19100</v>
      </c>
      <c r="I106" s="82">
        <v>19100</v>
      </c>
      <c r="J106" s="99">
        <v>16647.26</v>
      </c>
      <c r="K106" s="82">
        <v>19100</v>
      </c>
    </row>
    <row r="107" spans="1:11" ht="12.75">
      <c r="A107" s="115"/>
      <c r="B107" s="27">
        <v>4280</v>
      </c>
      <c r="C107" s="18" t="s">
        <v>44</v>
      </c>
      <c r="D107" s="82">
        <v>2450</v>
      </c>
      <c r="E107" s="99">
        <v>1551</v>
      </c>
      <c r="F107" s="99">
        <v>2234</v>
      </c>
      <c r="G107" s="82">
        <v>2450</v>
      </c>
      <c r="H107" s="82">
        <v>1950</v>
      </c>
      <c r="I107" s="82">
        <v>1950</v>
      </c>
      <c r="J107" s="99">
        <v>557</v>
      </c>
      <c r="K107" s="82">
        <v>950</v>
      </c>
    </row>
    <row r="108" spans="1:11" ht="12.75">
      <c r="A108" s="115"/>
      <c r="B108" s="27">
        <v>4300</v>
      </c>
      <c r="C108" s="18" t="s">
        <v>15</v>
      </c>
      <c r="D108" s="82">
        <v>206250</v>
      </c>
      <c r="E108" s="99">
        <v>199072.76</v>
      </c>
      <c r="F108" s="99">
        <v>121000.14</v>
      </c>
      <c r="G108" s="93">
        <v>161334</v>
      </c>
      <c r="H108" s="82">
        <v>120000</v>
      </c>
      <c r="I108" s="82">
        <v>172013</v>
      </c>
      <c r="J108" s="99">
        <v>161622.82</v>
      </c>
      <c r="K108" s="82">
        <f>195013+11157</f>
        <v>206170</v>
      </c>
    </row>
    <row r="109" spans="1:11" ht="12.75">
      <c r="A109" s="115"/>
      <c r="B109" s="27">
        <v>4350</v>
      </c>
      <c r="C109" s="18" t="s">
        <v>55</v>
      </c>
      <c r="D109" s="82">
        <v>13600</v>
      </c>
      <c r="E109" s="99">
        <v>8765.7</v>
      </c>
      <c r="F109" s="99">
        <v>10444.59</v>
      </c>
      <c r="G109" s="82">
        <v>13600</v>
      </c>
      <c r="H109" s="82">
        <v>13600</v>
      </c>
      <c r="I109" s="82">
        <v>13600</v>
      </c>
      <c r="J109" s="99">
        <v>13288.36</v>
      </c>
      <c r="K109" s="82">
        <v>16600</v>
      </c>
    </row>
    <row r="110" spans="1:11" ht="25.5">
      <c r="A110" s="115"/>
      <c r="B110" s="27">
        <v>4360</v>
      </c>
      <c r="C110" s="18" t="s">
        <v>46</v>
      </c>
      <c r="D110" s="82">
        <v>33000</v>
      </c>
      <c r="E110" s="99">
        <v>32807.39</v>
      </c>
      <c r="F110" s="99">
        <v>24267.07</v>
      </c>
      <c r="G110" s="82">
        <v>33000</v>
      </c>
      <c r="H110" s="82">
        <v>33000</v>
      </c>
      <c r="I110" s="82">
        <v>33000</v>
      </c>
      <c r="J110" s="99">
        <v>22670.75</v>
      </c>
      <c r="K110" s="82">
        <v>31000</v>
      </c>
    </row>
    <row r="111" spans="1:11" ht="25.5">
      <c r="A111" s="115"/>
      <c r="B111" s="27">
        <v>4370</v>
      </c>
      <c r="C111" s="18" t="s">
        <v>47</v>
      </c>
      <c r="D111" s="82">
        <v>8000</v>
      </c>
      <c r="E111" s="99">
        <v>7002.36</v>
      </c>
      <c r="F111" s="99">
        <v>5744.48</v>
      </c>
      <c r="G111" s="82">
        <v>8000</v>
      </c>
      <c r="H111" s="82">
        <v>8000</v>
      </c>
      <c r="I111" s="82">
        <v>8000</v>
      </c>
      <c r="J111" s="99">
        <v>6275.21</v>
      </c>
      <c r="K111" s="82">
        <v>8000</v>
      </c>
    </row>
    <row r="112" spans="1:11" ht="12.75">
      <c r="A112" s="115"/>
      <c r="B112" s="27">
        <v>4410</v>
      </c>
      <c r="C112" s="18" t="s">
        <v>48</v>
      </c>
      <c r="D112" s="82">
        <v>24000</v>
      </c>
      <c r="E112" s="99">
        <v>22519.08</v>
      </c>
      <c r="F112" s="99">
        <v>15235.26</v>
      </c>
      <c r="G112" s="82">
        <v>20500</v>
      </c>
      <c r="H112" s="82">
        <v>20500</v>
      </c>
      <c r="I112" s="82">
        <v>20500</v>
      </c>
      <c r="J112" s="99">
        <v>10894.14</v>
      </c>
      <c r="K112" s="82">
        <v>17500</v>
      </c>
    </row>
    <row r="113" spans="1:11" ht="12.75">
      <c r="A113" s="115"/>
      <c r="B113" s="27">
        <v>4420</v>
      </c>
      <c r="C113" s="18" t="s">
        <v>49</v>
      </c>
      <c r="D113" s="82">
        <v>2800</v>
      </c>
      <c r="E113" s="99">
        <v>393.73</v>
      </c>
      <c r="F113" s="99">
        <v>0</v>
      </c>
      <c r="G113" s="93">
        <v>500</v>
      </c>
      <c r="H113" s="82">
        <v>1350</v>
      </c>
      <c r="I113" s="82">
        <v>1350</v>
      </c>
      <c r="J113" s="99">
        <v>0</v>
      </c>
      <c r="K113" s="82">
        <v>1350</v>
      </c>
    </row>
    <row r="114" spans="1:11" ht="12.75">
      <c r="A114" s="115"/>
      <c r="B114" s="27">
        <v>4430</v>
      </c>
      <c r="C114" s="18" t="s">
        <v>16</v>
      </c>
      <c r="D114" s="82">
        <v>27000</v>
      </c>
      <c r="E114" s="99">
        <v>14306</v>
      </c>
      <c r="F114" s="99">
        <v>16179.44</v>
      </c>
      <c r="G114" s="93">
        <v>27000</v>
      </c>
      <c r="H114" s="82">
        <v>27800</v>
      </c>
      <c r="I114" s="82">
        <v>27800</v>
      </c>
      <c r="J114" s="99">
        <v>23947.96</v>
      </c>
      <c r="K114" s="82">
        <v>27800</v>
      </c>
    </row>
    <row r="115" spans="1:11" ht="12.75">
      <c r="A115" s="115"/>
      <c r="B115" s="27">
        <v>4440</v>
      </c>
      <c r="C115" s="18" t="s">
        <v>50</v>
      </c>
      <c r="D115" s="82">
        <v>53822</v>
      </c>
      <c r="E115" s="99">
        <v>48279</v>
      </c>
      <c r="F115" s="99">
        <v>53822</v>
      </c>
      <c r="G115" s="82">
        <v>53822</v>
      </c>
      <c r="H115" s="93">
        <v>54000</v>
      </c>
      <c r="I115" s="93">
        <v>46113</v>
      </c>
      <c r="J115" s="99">
        <v>46113</v>
      </c>
      <c r="K115" s="93">
        <v>46113</v>
      </c>
    </row>
    <row r="116" spans="1:11" ht="12.75">
      <c r="A116" s="115"/>
      <c r="B116" s="27">
        <v>4580</v>
      </c>
      <c r="C116" s="18" t="s">
        <v>140</v>
      </c>
      <c r="D116" s="82">
        <v>0</v>
      </c>
      <c r="E116" s="99">
        <v>44.8</v>
      </c>
      <c r="F116" s="99">
        <v>0</v>
      </c>
      <c r="G116" s="82">
        <v>0</v>
      </c>
      <c r="H116" s="82">
        <v>0</v>
      </c>
      <c r="I116" s="82">
        <v>25</v>
      </c>
      <c r="J116" s="99">
        <v>21.02</v>
      </c>
      <c r="K116" s="82">
        <v>25</v>
      </c>
    </row>
    <row r="117" spans="1:11" ht="12.75">
      <c r="A117" s="115"/>
      <c r="B117" s="27">
        <v>4610</v>
      </c>
      <c r="C117" s="18" t="s">
        <v>139</v>
      </c>
      <c r="D117" s="82">
        <v>392</v>
      </c>
      <c r="E117" s="99">
        <v>1861.53</v>
      </c>
      <c r="F117" s="99">
        <v>0</v>
      </c>
      <c r="G117" s="82">
        <v>0</v>
      </c>
      <c r="H117" s="82">
        <v>400</v>
      </c>
      <c r="I117" s="82">
        <v>400</v>
      </c>
      <c r="J117" s="99">
        <v>0</v>
      </c>
      <c r="K117" s="82">
        <v>400</v>
      </c>
    </row>
    <row r="118" spans="1:11" ht="25.5">
      <c r="A118" s="115"/>
      <c r="B118" s="27">
        <v>4700</v>
      </c>
      <c r="C118" s="18" t="s">
        <v>51</v>
      </c>
      <c r="D118" s="82">
        <v>19000</v>
      </c>
      <c r="E118" s="99">
        <v>14583</v>
      </c>
      <c r="F118" s="99">
        <v>14284</v>
      </c>
      <c r="G118" s="82">
        <v>19000</v>
      </c>
      <c r="H118" s="82">
        <v>17500</v>
      </c>
      <c r="I118" s="82">
        <v>17500</v>
      </c>
      <c r="J118" s="99">
        <v>10253.97</v>
      </c>
      <c r="K118" s="82">
        <v>14500</v>
      </c>
    </row>
    <row r="119" spans="1:11" ht="12.75" hidden="1">
      <c r="A119" s="115"/>
      <c r="B119" s="27"/>
      <c r="C119" s="18"/>
      <c r="D119" s="82">
        <v>8000</v>
      </c>
      <c r="E119" s="99">
        <v>6467.64</v>
      </c>
      <c r="F119" s="99">
        <v>4382.19</v>
      </c>
      <c r="G119" s="82">
        <v>8000</v>
      </c>
      <c r="H119" s="82"/>
      <c r="I119" s="82"/>
      <c r="J119" s="99"/>
      <c r="K119" s="82"/>
    </row>
    <row r="120" spans="1:11" ht="12.75" hidden="1">
      <c r="A120" s="115"/>
      <c r="B120" s="27"/>
      <c r="C120" s="18"/>
      <c r="D120" s="82">
        <v>72000</v>
      </c>
      <c r="E120" s="99">
        <v>76967.68</v>
      </c>
      <c r="F120" s="99">
        <v>41373.37</v>
      </c>
      <c r="G120" s="93">
        <v>62000</v>
      </c>
      <c r="H120" s="82"/>
      <c r="I120" s="82"/>
      <c r="J120" s="99"/>
      <c r="K120" s="82"/>
    </row>
    <row r="121" spans="1:11" ht="12.75" hidden="1">
      <c r="A121" s="115"/>
      <c r="B121" s="145">
        <v>6060</v>
      </c>
      <c r="C121" s="18" t="s">
        <v>61</v>
      </c>
      <c r="D121" s="82">
        <v>6000</v>
      </c>
      <c r="E121" s="99">
        <v>488621</v>
      </c>
      <c r="F121" s="99">
        <v>5898.7</v>
      </c>
      <c r="G121" s="82">
        <v>6000</v>
      </c>
      <c r="H121" s="82">
        <v>0</v>
      </c>
      <c r="I121" s="82">
        <v>0</v>
      </c>
      <c r="J121" s="99"/>
      <c r="K121" s="82">
        <v>0</v>
      </c>
    </row>
    <row r="122" spans="1:11" ht="12.75">
      <c r="A122" s="114">
        <v>75075</v>
      </c>
      <c r="B122" s="26"/>
      <c r="C122" s="19" t="s">
        <v>54</v>
      </c>
      <c r="D122" s="92">
        <f aca="true" t="shared" si="23" ref="D122:J122">SUM(D124:D126)</f>
        <v>63500</v>
      </c>
      <c r="E122" s="100">
        <f t="shared" si="23"/>
        <v>58900.97</v>
      </c>
      <c r="F122" s="100">
        <f t="shared" si="23"/>
        <v>42149.57</v>
      </c>
      <c r="G122" s="92">
        <f t="shared" si="23"/>
        <v>59870</v>
      </c>
      <c r="H122" s="92">
        <f t="shared" si="23"/>
        <v>13500</v>
      </c>
      <c r="I122" s="92">
        <f t="shared" si="23"/>
        <v>15500</v>
      </c>
      <c r="J122" s="100">
        <f t="shared" si="23"/>
        <v>13027.3</v>
      </c>
      <c r="K122" s="92">
        <f>SUM(K124:K126)</f>
        <v>23700</v>
      </c>
    </row>
    <row r="123" spans="1:11" ht="12.75" hidden="1">
      <c r="A123" s="114"/>
      <c r="B123" s="27"/>
      <c r="C123" s="18"/>
      <c r="D123" s="82"/>
      <c r="E123" s="99"/>
      <c r="F123" s="99">
        <v>0</v>
      </c>
      <c r="G123" s="82"/>
      <c r="H123" s="82">
        <v>0</v>
      </c>
      <c r="I123" s="82">
        <v>0</v>
      </c>
      <c r="J123" s="99">
        <v>0</v>
      </c>
      <c r="K123" s="82">
        <v>0</v>
      </c>
    </row>
    <row r="124" spans="1:11" ht="12.75" hidden="1">
      <c r="A124" s="114"/>
      <c r="B124" s="27">
        <v>4170</v>
      </c>
      <c r="C124" s="18" t="s">
        <v>42</v>
      </c>
      <c r="D124" s="82">
        <v>5000</v>
      </c>
      <c r="E124" s="99">
        <v>0</v>
      </c>
      <c r="F124" s="99">
        <v>1370</v>
      </c>
      <c r="G124" s="82">
        <v>1370</v>
      </c>
      <c r="H124" s="82">
        <v>500</v>
      </c>
      <c r="I124" s="82">
        <v>0</v>
      </c>
      <c r="J124" s="99">
        <v>0</v>
      </c>
      <c r="K124" s="82">
        <v>0</v>
      </c>
    </row>
    <row r="125" spans="1:11" ht="12.75">
      <c r="A125" s="114"/>
      <c r="B125" s="27">
        <v>4210</v>
      </c>
      <c r="C125" s="27" t="s">
        <v>14</v>
      </c>
      <c r="D125" s="82">
        <v>18200</v>
      </c>
      <c r="E125" s="99">
        <v>25677.39</v>
      </c>
      <c r="F125" s="99">
        <v>9251.37</v>
      </c>
      <c r="G125" s="82">
        <v>18200</v>
      </c>
      <c r="H125" s="82">
        <v>3000</v>
      </c>
      <c r="I125" s="82">
        <v>1000</v>
      </c>
      <c r="J125" s="99">
        <v>328</v>
      </c>
      <c r="K125" s="82">
        <v>700</v>
      </c>
    </row>
    <row r="126" spans="1:11" ht="12.75">
      <c r="A126" s="115"/>
      <c r="B126" s="27">
        <v>4300</v>
      </c>
      <c r="C126" s="18" t="s">
        <v>15</v>
      </c>
      <c r="D126" s="82">
        <v>40300</v>
      </c>
      <c r="E126" s="99">
        <v>33223.58</v>
      </c>
      <c r="F126" s="99">
        <v>31528.2</v>
      </c>
      <c r="G126" s="82">
        <v>40300</v>
      </c>
      <c r="H126" s="82">
        <v>10000</v>
      </c>
      <c r="I126" s="82">
        <v>14500</v>
      </c>
      <c r="J126" s="99">
        <v>12699.3</v>
      </c>
      <c r="K126" s="82">
        <v>23000</v>
      </c>
    </row>
    <row r="127" spans="1:11" ht="12.75">
      <c r="A127" s="114">
        <v>75095</v>
      </c>
      <c r="B127" s="26"/>
      <c r="C127" s="19" t="s">
        <v>13</v>
      </c>
      <c r="D127" s="92">
        <f>SUM(D129:D139)</f>
        <v>51100</v>
      </c>
      <c r="E127" s="100">
        <f>SUM(E129:E139)</f>
        <v>30933.34</v>
      </c>
      <c r="F127" s="100">
        <f>SUM(F129:F139)</f>
        <v>29631.01</v>
      </c>
      <c r="G127" s="92">
        <f>SUM(G129:G139)</f>
        <v>45550</v>
      </c>
      <c r="H127" s="92">
        <f>SUM(H128:H139)</f>
        <v>43749</v>
      </c>
      <c r="I127" s="92">
        <f>SUM(I128:I139)</f>
        <v>50149</v>
      </c>
      <c r="J127" s="100">
        <f>SUM(J128:J139)</f>
        <v>39080.62</v>
      </c>
      <c r="K127" s="92">
        <f>SUM(K128:K139)</f>
        <v>50149</v>
      </c>
    </row>
    <row r="128" spans="1:11" ht="12.75">
      <c r="A128" s="114"/>
      <c r="B128" s="27">
        <v>3030</v>
      </c>
      <c r="C128" s="18" t="s">
        <v>34</v>
      </c>
      <c r="D128" s="92"/>
      <c r="E128" s="100"/>
      <c r="F128" s="100"/>
      <c r="G128" s="92"/>
      <c r="H128" s="92"/>
      <c r="I128" s="81">
        <v>3900</v>
      </c>
      <c r="J128" s="101">
        <v>3300</v>
      </c>
      <c r="K128" s="81">
        <v>3900</v>
      </c>
    </row>
    <row r="129" spans="1:11" ht="12.75">
      <c r="A129" s="114"/>
      <c r="B129" s="27">
        <v>4170</v>
      </c>
      <c r="C129" s="18" t="s">
        <v>42</v>
      </c>
      <c r="D129" s="82">
        <v>1500</v>
      </c>
      <c r="E129" s="99">
        <v>650</v>
      </c>
      <c r="F129" s="99">
        <v>819</v>
      </c>
      <c r="G129" s="82">
        <v>1500</v>
      </c>
      <c r="H129" s="82">
        <v>1000</v>
      </c>
      <c r="I129" s="82">
        <v>1000</v>
      </c>
      <c r="J129" s="99">
        <v>0</v>
      </c>
      <c r="K129" s="82">
        <v>1000</v>
      </c>
    </row>
    <row r="130" spans="1:11" ht="12.75">
      <c r="A130" s="115"/>
      <c r="B130" s="27">
        <v>4210</v>
      </c>
      <c r="C130" s="18" t="s">
        <v>14</v>
      </c>
      <c r="D130" s="82">
        <v>12000</v>
      </c>
      <c r="E130" s="99">
        <v>10288.05</v>
      </c>
      <c r="F130" s="99">
        <v>4690.19</v>
      </c>
      <c r="G130" s="82">
        <v>6500</v>
      </c>
      <c r="H130" s="82">
        <v>5599</v>
      </c>
      <c r="I130" s="82">
        <v>7599</v>
      </c>
      <c r="J130" s="99">
        <v>6219.72</v>
      </c>
      <c r="K130" s="82">
        <v>7599</v>
      </c>
    </row>
    <row r="131" spans="1:11" ht="12.75" hidden="1">
      <c r="A131" s="115"/>
      <c r="B131" s="27">
        <v>4260</v>
      </c>
      <c r="C131" s="18" t="s">
        <v>43</v>
      </c>
      <c r="D131" s="82"/>
      <c r="E131" s="99">
        <v>0</v>
      </c>
      <c r="F131" s="99">
        <v>0</v>
      </c>
      <c r="G131" s="82"/>
      <c r="H131" s="82">
        <v>0</v>
      </c>
      <c r="I131" s="82">
        <v>0</v>
      </c>
      <c r="J131" s="99">
        <v>0</v>
      </c>
      <c r="K131" s="82">
        <v>0</v>
      </c>
    </row>
    <row r="132" spans="1:11" ht="12.75">
      <c r="A132" s="115"/>
      <c r="B132" s="27">
        <v>4270</v>
      </c>
      <c r="C132" s="18" t="s">
        <v>24</v>
      </c>
      <c r="D132" s="82"/>
      <c r="E132" s="99">
        <v>0</v>
      </c>
      <c r="F132" s="99">
        <f>E132+D132</f>
        <v>0</v>
      </c>
      <c r="G132" s="82"/>
      <c r="H132" s="82">
        <f>F132+E132</f>
        <v>0</v>
      </c>
      <c r="I132" s="82">
        <v>1000</v>
      </c>
      <c r="J132" s="99">
        <v>615</v>
      </c>
      <c r="K132" s="82">
        <v>1000</v>
      </c>
    </row>
    <row r="133" spans="1:11" ht="12.75">
      <c r="A133" s="115"/>
      <c r="B133" s="27">
        <v>4300</v>
      </c>
      <c r="C133" s="18" t="s">
        <v>15</v>
      </c>
      <c r="D133" s="82">
        <v>5000</v>
      </c>
      <c r="E133" s="99">
        <v>3999.8</v>
      </c>
      <c r="F133" s="99">
        <v>1049.4</v>
      </c>
      <c r="G133" s="82">
        <v>5000</v>
      </c>
      <c r="H133" s="82">
        <v>5150</v>
      </c>
      <c r="I133" s="82">
        <v>4150</v>
      </c>
      <c r="J133" s="99">
        <v>1775.42</v>
      </c>
      <c r="K133" s="82">
        <v>4150</v>
      </c>
    </row>
    <row r="134" spans="1:11" ht="12.75">
      <c r="A134" s="115"/>
      <c r="B134" s="27">
        <v>4350</v>
      </c>
      <c r="C134" s="18" t="s">
        <v>55</v>
      </c>
      <c r="D134" s="82">
        <v>4000</v>
      </c>
      <c r="E134" s="99">
        <v>2352.88</v>
      </c>
      <c r="F134" s="99">
        <v>2646.99</v>
      </c>
      <c r="G134" s="82">
        <v>4000</v>
      </c>
      <c r="H134" s="82">
        <v>3500</v>
      </c>
      <c r="I134" s="82">
        <v>6000</v>
      </c>
      <c r="J134" s="99">
        <v>4481.1</v>
      </c>
      <c r="K134" s="82">
        <v>6000</v>
      </c>
    </row>
    <row r="135" spans="1:11" ht="25.5">
      <c r="A135" s="115"/>
      <c r="B135" s="27">
        <v>4360</v>
      </c>
      <c r="C135" s="18" t="s">
        <v>46</v>
      </c>
      <c r="D135" s="82">
        <v>1000</v>
      </c>
      <c r="E135" s="99">
        <v>590.85</v>
      </c>
      <c r="F135" s="99">
        <v>322.35</v>
      </c>
      <c r="G135" s="82">
        <v>1000</v>
      </c>
      <c r="H135" s="82">
        <v>1000</v>
      </c>
      <c r="I135" s="82">
        <v>1000</v>
      </c>
      <c r="J135" s="99">
        <v>71.34</v>
      </c>
      <c r="K135" s="82">
        <v>1000</v>
      </c>
    </row>
    <row r="136" spans="1:11" ht="25.5">
      <c r="A136" s="115"/>
      <c r="B136" s="27">
        <v>4370</v>
      </c>
      <c r="C136" s="18" t="s">
        <v>47</v>
      </c>
      <c r="D136" s="82">
        <v>500</v>
      </c>
      <c r="E136" s="99">
        <v>336.72</v>
      </c>
      <c r="F136" s="99">
        <v>262.8</v>
      </c>
      <c r="G136" s="82">
        <v>500</v>
      </c>
      <c r="H136" s="82">
        <v>500</v>
      </c>
      <c r="I136" s="82">
        <v>500</v>
      </c>
      <c r="J136" s="99">
        <v>259.38</v>
      </c>
      <c r="K136" s="82">
        <v>500</v>
      </c>
    </row>
    <row r="137" spans="1:11" ht="25.5" hidden="1">
      <c r="A137" s="115"/>
      <c r="B137" s="27">
        <v>4400</v>
      </c>
      <c r="C137" s="18" t="s">
        <v>56</v>
      </c>
      <c r="D137" s="82"/>
      <c r="E137" s="99">
        <v>0</v>
      </c>
      <c r="F137" s="99">
        <v>0</v>
      </c>
      <c r="G137" s="82"/>
      <c r="H137" s="82">
        <v>0</v>
      </c>
      <c r="I137" s="82">
        <v>0</v>
      </c>
      <c r="J137" s="99">
        <v>0</v>
      </c>
      <c r="K137" s="82">
        <v>0</v>
      </c>
    </row>
    <row r="138" spans="1:11" ht="12.75">
      <c r="A138" s="115"/>
      <c r="B138" s="27">
        <v>4430</v>
      </c>
      <c r="C138" s="18" t="s">
        <v>16</v>
      </c>
      <c r="D138" s="82">
        <v>27000</v>
      </c>
      <c r="E138" s="99">
        <v>12703.04</v>
      </c>
      <c r="F138" s="99">
        <v>19840.28</v>
      </c>
      <c r="G138" s="82">
        <v>27000</v>
      </c>
      <c r="H138" s="82">
        <v>27000</v>
      </c>
      <c r="I138" s="82">
        <v>25000</v>
      </c>
      <c r="J138" s="99">
        <v>22358.66</v>
      </c>
      <c r="K138" s="82">
        <v>25000</v>
      </c>
    </row>
    <row r="139" spans="1:11" ht="12.75" hidden="1">
      <c r="A139" s="115"/>
      <c r="B139" s="27"/>
      <c r="C139" s="18"/>
      <c r="D139" s="82">
        <v>100</v>
      </c>
      <c r="E139" s="99">
        <v>12</v>
      </c>
      <c r="F139" s="99">
        <v>0</v>
      </c>
      <c r="G139" s="82">
        <v>50</v>
      </c>
      <c r="H139" s="82"/>
      <c r="I139" s="82"/>
      <c r="J139" s="99">
        <v>0</v>
      </c>
      <c r="K139" s="82"/>
    </row>
    <row r="140" spans="1:11" ht="15.75" customHeight="1">
      <c r="A140" s="113">
        <v>754</v>
      </c>
      <c r="B140" s="89"/>
      <c r="C140" s="90" t="s">
        <v>57</v>
      </c>
      <c r="D140" s="91" t="e">
        <f>D141+D143+D145+D170+#REF!+D172</f>
        <v>#REF!</v>
      </c>
      <c r="E140" s="103" t="e">
        <f>E141+E143+E145+E170+#REF!+E172</f>
        <v>#REF!</v>
      </c>
      <c r="F140" s="103" t="e">
        <f>F141+F143+F145+F170+#REF!+F172</f>
        <v>#REF!</v>
      </c>
      <c r="G140" s="91" t="e">
        <f>G141+G143+G145+G170+#REF!+G172</f>
        <v>#REF!</v>
      </c>
      <c r="H140" s="91">
        <f>H141+H143+H145+H161+H170+H172+H178</f>
        <v>195140</v>
      </c>
      <c r="I140" s="91">
        <f>I141+I143+I145+I161+I170+I172+I178</f>
        <v>293449</v>
      </c>
      <c r="J140" s="103">
        <f>J141+J143+J145+J161+J170+J172+J178</f>
        <v>161506.12999999998</v>
      </c>
      <c r="K140" s="91">
        <f>K141+K143+K145+K161+K170+K172+K178</f>
        <v>293649</v>
      </c>
    </row>
    <row r="141" spans="1:11" ht="13.5" customHeight="1" hidden="1">
      <c r="A141" s="114">
        <v>75404</v>
      </c>
      <c r="B141" s="26"/>
      <c r="C141" s="19" t="s">
        <v>126</v>
      </c>
      <c r="D141" s="92">
        <f>D142</f>
        <v>0</v>
      </c>
      <c r="E141" s="100">
        <f>E142</f>
        <v>35000</v>
      </c>
      <c r="F141" s="100">
        <f>F142</f>
        <v>0</v>
      </c>
      <c r="G141" s="92"/>
      <c r="H141" s="92">
        <f>H142</f>
        <v>0</v>
      </c>
      <c r="I141" s="92">
        <f>I142</f>
        <v>0</v>
      </c>
      <c r="J141" s="100">
        <f>J142</f>
        <v>0</v>
      </c>
      <c r="K141" s="92">
        <f>K142</f>
        <v>0</v>
      </c>
    </row>
    <row r="142" spans="1:11" ht="23.25" customHeight="1" hidden="1">
      <c r="A142" s="117"/>
      <c r="B142" s="27">
        <v>6170</v>
      </c>
      <c r="C142" s="44" t="s">
        <v>127</v>
      </c>
      <c r="D142" s="82">
        <v>0</v>
      </c>
      <c r="E142" s="99">
        <v>35000</v>
      </c>
      <c r="F142" s="99">
        <v>0</v>
      </c>
      <c r="G142" s="82"/>
      <c r="H142" s="82">
        <v>0</v>
      </c>
      <c r="I142" s="82">
        <v>0</v>
      </c>
      <c r="J142" s="99">
        <v>0</v>
      </c>
      <c r="K142" s="82">
        <v>0</v>
      </c>
    </row>
    <row r="143" spans="1:11" ht="15.75" customHeight="1" hidden="1">
      <c r="A143" s="114">
        <v>75411</v>
      </c>
      <c r="B143" s="26"/>
      <c r="C143" s="94" t="s">
        <v>155</v>
      </c>
      <c r="D143" s="92">
        <f>D144</f>
        <v>0</v>
      </c>
      <c r="E143" s="100">
        <f>E144</f>
        <v>10000</v>
      </c>
      <c r="F143" s="100">
        <f>F144</f>
        <v>0</v>
      </c>
      <c r="G143" s="92"/>
      <c r="H143" s="92">
        <f>H144</f>
        <v>0</v>
      </c>
      <c r="I143" s="92">
        <f>I144</f>
        <v>0</v>
      </c>
      <c r="J143" s="100">
        <f>J144</f>
        <v>0</v>
      </c>
      <c r="K143" s="92">
        <f>K144</f>
        <v>0</v>
      </c>
    </row>
    <row r="144" spans="1:11" ht="34.5" customHeight="1" hidden="1">
      <c r="A144" s="117"/>
      <c r="B144" s="27">
        <v>6620</v>
      </c>
      <c r="C144" s="44" t="s">
        <v>156</v>
      </c>
      <c r="D144" s="82">
        <v>0</v>
      </c>
      <c r="E144" s="99">
        <v>10000</v>
      </c>
      <c r="F144" s="99">
        <v>0</v>
      </c>
      <c r="G144" s="82"/>
      <c r="H144" s="82">
        <v>0</v>
      </c>
      <c r="I144" s="82">
        <v>0</v>
      </c>
      <c r="J144" s="99">
        <v>0</v>
      </c>
      <c r="K144" s="82">
        <v>0</v>
      </c>
    </row>
    <row r="145" spans="1:11" ht="12.75">
      <c r="A145" s="114">
        <v>75412</v>
      </c>
      <c r="B145" s="26"/>
      <c r="C145" s="19" t="s">
        <v>58</v>
      </c>
      <c r="D145" s="92">
        <f aca="true" t="shared" si="24" ref="D145:J145">SUM(D146:D160)</f>
        <v>378034</v>
      </c>
      <c r="E145" s="100">
        <f t="shared" si="24"/>
        <v>248759.78</v>
      </c>
      <c r="F145" s="100">
        <f t="shared" si="24"/>
        <v>258513.4</v>
      </c>
      <c r="G145" s="92">
        <f t="shared" si="24"/>
        <v>318000</v>
      </c>
      <c r="H145" s="92">
        <f t="shared" si="24"/>
        <v>141440</v>
      </c>
      <c r="I145" s="92">
        <f t="shared" si="24"/>
        <v>208890</v>
      </c>
      <c r="J145" s="100">
        <f t="shared" si="24"/>
        <v>144590.72999999998</v>
      </c>
      <c r="K145" s="92">
        <f>SUM(K146:K160)</f>
        <v>209090</v>
      </c>
    </row>
    <row r="146" spans="1:11" s="13" customFormat="1" ht="22.5">
      <c r="A146" s="117"/>
      <c r="B146" s="27">
        <v>2820</v>
      </c>
      <c r="C146" s="44" t="s">
        <v>59</v>
      </c>
      <c r="D146" s="82">
        <v>26000</v>
      </c>
      <c r="E146" s="99">
        <v>28569.02</v>
      </c>
      <c r="F146" s="99">
        <v>10898.05</v>
      </c>
      <c r="G146" s="82">
        <v>26000</v>
      </c>
      <c r="H146" s="82">
        <v>26000</v>
      </c>
      <c r="I146" s="82">
        <v>26000</v>
      </c>
      <c r="J146" s="99">
        <v>12664.77</v>
      </c>
      <c r="K146" s="82">
        <v>26000</v>
      </c>
    </row>
    <row r="147" spans="1:11" ht="12.75">
      <c r="A147" s="115"/>
      <c r="B147" s="27">
        <v>3030</v>
      </c>
      <c r="C147" s="18" t="s">
        <v>34</v>
      </c>
      <c r="D147" s="82">
        <v>21000</v>
      </c>
      <c r="E147" s="99">
        <v>19207.6</v>
      </c>
      <c r="F147" s="99">
        <v>7945</v>
      </c>
      <c r="G147" s="82">
        <v>19000</v>
      </c>
      <c r="H147" s="82">
        <v>19600</v>
      </c>
      <c r="I147" s="82">
        <v>19600</v>
      </c>
      <c r="J147" s="99">
        <v>16619</v>
      </c>
      <c r="K147" s="82">
        <v>19800</v>
      </c>
    </row>
    <row r="148" spans="1:11" ht="12.75">
      <c r="A148" s="115"/>
      <c r="B148" s="27">
        <v>4110</v>
      </c>
      <c r="C148" s="18" t="s">
        <v>39</v>
      </c>
      <c r="D148" s="82">
        <v>3500</v>
      </c>
      <c r="E148" s="99">
        <v>2725.92</v>
      </c>
      <c r="F148" s="99">
        <v>1516.08</v>
      </c>
      <c r="G148" s="82">
        <v>2500</v>
      </c>
      <c r="H148" s="82">
        <v>2590</v>
      </c>
      <c r="I148" s="82">
        <v>2590</v>
      </c>
      <c r="J148" s="99">
        <v>1685.16</v>
      </c>
      <c r="K148" s="82">
        <v>2590</v>
      </c>
    </row>
    <row r="149" spans="1:11" ht="12.75">
      <c r="A149" s="115"/>
      <c r="B149" s="27">
        <v>4120</v>
      </c>
      <c r="C149" s="18" t="s">
        <v>40</v>
      </c>
      <c r="D149" s="82">
        <v>1000</v>
      </c>
      <c r="E149" s="99">
        <v>238.14</v>
      </c>
      <c r="F149" s="99">
        <v>143.12</v>
      </c>
      <c r="G149" s="82">
        <v>500</v>
      </c>
      <c r="H149" s="82">
        <v>550</v>
      </c>
      <c r="I149" s="82">
        <v>550</v>
      </c>
      <c r="J149" s="99">
        <v>84.32</v>
      </c>
      <c r="K149" s="82">
        <v>550</v>
      </c>
    </row>
    <row r="150" spans="1:11" ht="12.75">
      <c r="A150" s="115"/>
      <c r="B150" s="27">
        <v>4170</v>
      </c>
      <c r="C150" s="18" t="s">
        <v>42</v>
      </c>
      <c r="D150" s="82">
        <v>42500</v>
      </c>
      <c r="E150" s="99">
        <v>40240</v>
      </c>
      <c r="F150" s="99">
        <v>27188.1</v>
      </c>
      <c r="G150" s="82">
        <v>37000</v>
      </c>
      <c r="H150" s="82">
        <v>37000</v>
      </c>
      <c r="I150" s="82">
        <v>41000</v>
      </c>
      <c r="J150" s="99">
        <v>30030.48</v>
      </c>
      <c r="K150" s="82">
        <v>41000</v>
      </c>
    </row>
    <row r="151" spans="1:11" ht="12.75">
      <c r="A151" s="115"/>
      <c r="B151" s="27">
        <v>4210</v>
      </c>
      <c r="C151" s="18" t="s">
        <v>14</v>
      </c>
      <c r="D151" s="82">
        <v>30000</v>
      </c>
      <c r="E151" s="99">
        <v>72664.77</v>
      </c>
      <c r="F151" s="99">
        <v>20653.11</v>
      </c>
      <c r="G151" s="82">
        <v>30000</v>
      </c>
      <c r="H151" s="82">
        <v>15000</v>
      </c>
      <c r="I151" s="82">
        <v>42000</v>
      </c>
      <c r="J151" s="99">
        <v>34498.32</v>
      </c>
      <c r="K151" s="82">
        <v>42000</v>
      </c>
    </row>
    <row r="152" spans="1:11" ht="12.75">
      <c r="A152" s="115"/>
      <c r="B152" s="27">
        <v>4250</v>
      </c>
      <c r="C152" s="18" t="s">
        <v>60</v>
      </c>
      <c r="D152" s="82">
        <v>0</v>
      </c>
      <c r="E152" s="99">
        <v>25326.81</v>
      </c>
      <c r="F152" s="99">
        <v>0</v>
      </c>
      <c r="G152" s="82">
        <v>0</v>
      </c>
      <c r="H152" s="82">
        <v>4000</v>
      </c>
      <c r="I152" s="82">
        <v>4000</v>
      </c>
      <c r="J152" s="99">
        <v>3593.03</v>
      </c>
      <c r="K152" s="82">
        <v>4000</v>
      </c>
    </row>
    <row r="153" spans="1:11" ht="12.75">
      <c r="A153" s="115"/>
      <c r="B153" s="27">
        <v>4260</v>
      </c>
      <c r="C153" s="18" t="s">
        <v>43</v>
      </c>
      <c r="D153" s="82">
        <v>22000</v>
      </c>
      <c r="E153" s="99">
        <v>16563.13</v>
      </c>
      <c r="F153" s="99">
        <v>14988.69</v>
      </c>
      <c r="G153" s="82">
        <v>20000</v>
      </c>
      <c r="H153" s="82">
        <v>10000</v>
      </c>
      <c r="I153" s="82">
        <v>29000</v>
      </c>
      <c r="J153" s="99">
        <v>17808.87</v>
      </c>
      <c r="K153" s="82">
        <v>29000</v>
      </c>
    </row>
    <row r="154" spans="1:11" ht="12.75">
      <c r="A154" s="115"/>
      <c r="B154" s="27">
        <v>4270</v>
      </c>
      <c r="C154" s="18" t="s">
        <v>24</v>
      </c>
      <c r="D154" s="82">
        <v>70000</v>
      </c>
      <c r="E154" s="99">
        <v>1590</v>
      </c>
      <c r="F154" s="99">
        <v>68191.65</v>
      </c>
      <c r="G154" s="140">
        <v>70000</v>
      </c>
      <c r="H154" s="82">
        <v>10000</v>
      </c>
      <c r="I154" s="82">
        <v>4550</v>
      </c>
      <c r="J154" s="99">
        <v>3339.29</v>
      </c>
      <c r="K154" s="82">
        <v>4550</v>
      </c>
    </row>
    <row r="155" spans="1:11" ht="12.75">
      <c r="A155" s="115"/>
      <c r="B155" s="27">
        <v>4280</v>
      </c>
      <c r="C155" s="18" t="s">
        <v>44</v>
      </c>
      <c r="D155" s="82">
        <v>2000</v>
      </c>
      <c r="E155" s="99">
        <v>26395.09</v>
      </c>
      <c r="F155" s="99">
        <v>1400</v>
      </c>
      <c r="G155" s="82">
        <v>2000</v>
      </c>
      <c r="H155" s="82">
        <v>2000</v>
      </c>
      <c r="I155" s="82">
        <v>2000</v>
      </c>
      <c r="J155" s="99">
        <v>920</v>
      </c>
      <c r="K155" s="82">
        <v>2000</v>
      </c>
    </row>
    <row r="156" spans="1:11" ht="12.75">
      <c r="A156" s="115"/>
      <c r="B156" s="27">
        <v>4300</v>
      </c>
      <c r="C156" s="18" t="s">
        <v>15</v>
      </c>
      <c r="D156" s="82">
        <v>61034</v>
      </c>
      <c r="E156" s="99">
        <v>7319</v>
      </c>
      <c r="F156" s="99">
        <v>9998.6</v>
      </c>
      <c r="G156" s="140">
        <v>13500</v>
      </c>
      <c r="H156" s="82">
        <v>8000</v>
      </c>
      <c r="I156" s="82">
        <v>7900</v>
      </c>
      <c r="J156" s="99">
        <v>6905.49</v>
      </c>
      <c r="K156" s="82">
        <v>7900</v>
      </c>
    </row>
    <row r="157" spans="1:11" ht="12.75">
      <c r="A157" s="115"/>
      <c r="B157" s="27">
        <v>4430</v>
      </c>
      <c r="C157" s="18" t="s">
        <v>16</v>
      </c>
      <c r="D157" s="82">
        <v>8000</v>
      </c>
      <c r="E157" s="99">
        <v>7920.3</v>
      </c>
      <c r="F157" s="99">
        <v>4591</v>
      </c>
      <c r="G157" s="82">
        <v>6500</v>
      </c>
      <c r="H157" s="82">
        <v>6700</v>
      </c>
      <c r="I157" s="82">
        <v>16700</v>
      </c>
      <c r="J157" s="99">
        <v>16442</v>
      </c>
      <c r="K157" s="82">
        <v>16700</v>
      </c>
    </row>
    <row r="158" spans="1:11" ht="12.75" hidden="1">
      <c r="A158" s="115"/>
      <c r="B158" s="145">
        <v>6050</v>
      </c>
      <c r="C158" s="18" t="s">
        <v>26</v>
      </c>
      <c r="D158" s="82">
        <v>0</v>
      </c>
      <c r="E158" s="99">
        <v>0</v>
      </c>
      <c r="F158" s="99">
        <v>0</v>
      </c>
      <c r="G158" s="82"/>
      <c r="H158" s="82">
        <v>0</v>
      </c>
      <c r="I158" s="82">
        <v>0</v>
      </c>
      <c r="J158" s="99">
        <v>0</v>
      </c>
      <c r="K158" s="82">
        <v>0</v>
      </c>
    </row>
    <row r="159" spans="1:11" ht="12.75" hidden="1">
      <c r="A159" s="115"/>
      <c r="B159" s="146">
        <v>6060</v>
      </c>
      <c r="C159" s="18" t="s">
        <v>61</v>
      </c>
      <c r="D159" s="82">
        <v>11000</v>
      </c>
      <c r="E159" s="99">
        <v>0</v>
      </c>
      <c r="F159" s="99">
        <v>11000</v>
      </c>
      <c r="G159" s="82">
        <v>11000</v>
      </c>
      <c r="H159" s="82">
        <v>0</v>
      </c>
      <c r="I159" s="82">
        <v>0</v>
      </c>
      <c r="J159" s="99"/>
      <c r="K159" s="82">
        <v>0</v>
      </c>
    </row>
    <row r="160" spans="1:11" ht="38.25">
      <c r="A160" s="115"/>
      <c r="B160" s="134">
        <v>6230</v>
      </c>
      <c r="C160" s="18" t="s">
        <v>169</v>
      </c>
      <c r="D160" s="82">
        <v>80000</v>
      </c>
      <c r="E160" s="99">
        <v>0</v>
      </c>
      <c r="F160" s="99">
        <v>80000</v>
      </c>
      <c r="G160" s="82">
        <v>80000</v>
      </c>
      <c r="H160" s="82">
        <v>0</v>
      </c>
      <c r="I160" s="82">
        <v>13000</v>
      </c>
      <c r="J160" s="99">
        <v>0</v>
      </c>
      <c r="K160" s="82">
        <v>13000</v>
      </c>
    </row>
    <row r="161" spans="1:11" ht="12.75">
      <c r="A161" s="114">
        <v>75416</v>
      </c>
      <c r="B161" s="26"/>
      <c r="C161" s="94" t="s">
        <v>183</v>
      </c>
      <c r="D161" s="82"/>
      <c r="E161" s="99"/>
      <c r="F161" s="99"/>
      <c r="G161" s="82"/>
      <c r="H161" s="92">
        <f>SUM(H166)</f>
        <v>0</v>
      </c>
      <c r="I161" s="92">
        <f>SUM(I166:I169)</f>
        <v>50000</v>
      </c>
      <c r="J161" s="100">
        <f>SUM(J166:J169)</f>
        <v>0</v>
      </c>
      <c r="K161" s="92">
        <f>SUM(K166:K169)</f>
        <v>50000</v>
      </c>
    </row>
    <row r="162" spans="1:11" ht="12.75" hidden="1">
      <c r="A162" s="114"/>
      <c r="B162" s="27">
        <v>4010</v>
      </c>
      <c r="C162" s="18" t="s">
        <v>37</v>
      </c>
      <c r="D162" s="82"/>
      <c r="E162" s="99"/>
      <c r="F162" s="99"/>
      <c r="G162" s="82"/>
      <c r="H162" s="92"/>
      <c r="I162" s="81">
        <v>0</v>
      </c>
      <c r="J162" s="101">
        <v>0</v>
      </c>
      <c r="K162" s="81">
        <v>0</v>
      </c>
    </row>
    <row r="163" spans="1:11" ht="12.75" hidden="1">
      <c r="A163" s="114"/>
      <c r="B163" s="27">
        <v>4040</v>
      </c>
      <c r="C163" s="18" t="s">
        <v>38</v>
      </c>
      <c r="D163" s="82"/>
      <c r="E163" s="99"/>
      <c r="F163" s="99"/>
      <c r="G163" s="82"/>
      <c r="H163" s="92"/>
      <c r="I163" s="81">
        <v>0</v>
      </c>
      <c r="J163" s="101">
        <v>0</v>
      </c>
      <c r="K163" s="81">
        <v>0</v>
      </c>
    </row>
    <row r="164" spans="1:11" ht="12.75" hidden="1">
      <c r="A164" s="114"/>
      <c r="B164" s="27">
        <v>4110</v>
      </c>
      <c r="C164" s="18" t="s">
        <v>39</v>
      </c>
      <c r="D164" s="82"/>
      <c r="E164" s="99"/>
      <c r="F164" s="99"/>
      <c r="G164" s="82"/>
      <c r="H164" s="92"/>
      <c r="I164" s="81">
        <v>0</v>
      </c>
      <c r="J164" s="101">
        <v>0</v>
      </c>
      <c r="K164" s="81">
        <v>0</v>
      </c>
    </row>
    <row r="165" spans="1:11" ht="12.75" hidden="1">
      <c r="A165" s="114"/>
      <c r="B165" s="27">
        <v>4120</v>
      </c>
      <c r="C165" s="18" t="s">
        <v>40</v>
      </c>
      <c r="D165" s="82"/>
      <c r="E165" s="99"/>
      <c r="F165" s="99"/>
      <c r="G165" s="82"/>
      <c r="H165" s="92"/>
      <c r="I165" s="81">
        <v>0</v>
      </c>
      <c r="J165" s="101">
        <v>0</v>
      </c>
      <c r="K165" s="81">
        <v>0</v>
      </c>
    </row>
    <row r="166" spans="1:11" ht="12.75">
      <c r="A166" s="114"/>
      <c r="B166" s="27">
        <v>4210</v>
      </c>
      <c r="C166" s="18" t="s">
        <v>14</v>
      </c>
      <c r="D166" s="82"/>
      <c r="E166" s="99"/>
      <c r="F166" s="99"/>
      <c r="G166" s="82"/>
      <c r="H166" s="82"/>
      <c r="I166" s="82">
        <v>10000</v>
      </c>
      <c r="J166" s="99">
        <v>0</v>
      </c>
      <c r="K166" s="82">
        <v>10000</v>
      </c>
    </row>
    <row r="167" spans="1:11" ht="12.75">
      <c r="A167" s="117"/>
      <c r="B167" s="27">
        <v>4300</v>
      </c>
      <c r="C167" s="18" t="s">
        <v>15</v>
      </c>
      <c r="D167" s="82"/>
      <c r="E167" s="99"/>
      <c r="F167" s="99"/>
      <c r="G167" s="82"/>
      <c r="H167" s="82"/>
      <c r="I167" s="82">
        <v>40000</v>
      </c>
      <c r="J167" s="99">
        <v>0</v>
      </c>
      <c r="K167" s="82">
        <v>38000</v>
      </c>
    </row>
    <row r="168" spans="1:11" ht="12.75">
      <c r="A168" s="117"/>
      <c r="B168" s="27">
        <v>4410</v>
      </c>
      <c r="C168" s="18" t="s">
        <v>48</v>
      </c>
      <c r="D168" s="82"/>
      <c r="E168" s="99"/>
      <c r="F168" s="99"/>
      <c r="G168" s="82"/>
      <c r="H168" s="82"/>
      <c r="I168" s="82">
        <v>0</v>
      </c>
      <c r="J168" s="99">
        <v>0</v>
      </c>
      <c r="K168" s="82">
        <v>1000</v>
      </c>
    </row>
    <row r="169" spans="1:11" ht="25.5">
      <c r="A169" s="117"/>
      <c r="B169" s="27">
        <v>4700</v>
      </c>
      <c r="C169" s="18" t="s">
        <v>51</v>
      </c>
      <c r="D169" s="82"/>
      <c r="E169" s="99"/>
      <c r="F169" s="99"/>
      <c r="G169" s="82"/>
      <c r="H169" s="82"/>
      <c r="I169" s="82">
        <v>0</v>
      </c>
      <c r="J169" s="99">
        <v>0</v>
      </c>
      <c r="K169" s="82">
        <v>1000</v>
      </c>
    </row>
    <row r="170" spans="1:11" ht="12.75">
      <c r="A170" s="114">
        <v>75421</v>
      </c>
      <c r="B170" s="26"/>
      <c r="C170" s="19" t="s">
        <v>62</v>
      </c>
      <c r="D170" s="92">
        <f>SUM(D171)</f>
        <v>0</v>
      </c>
      <c r="E170" s="100">
        <f>SUM(E171)</f>
        <v>0</v>
      </c>
      <c r="F170" s="100">
        <f>SUM(F171)</f>
        <v>0</v>
      </c>
      <c r="G170" s="92"/>
      <c r="H170" s="92">
        <f>SUM(H171)</f>
        <v>53700</v>
      </c>
      <c r="I170" s="92">
        <f>SUM(I171)</f>
        <v>17595</v>
      </c>
      <c r="J170" s="100">
        <f>SUM(J171)</f>
        <v>0</v>
      </c>
      <c r="K170" s="92">
        <f>SUM(K171)</f>
        <v>17595</v>
      </c>
    </row>
    <row r="171" spans="1:11" ht="12.75">
      <c r="A171" s="115"/>
      <c r="B171" s="27">
        <v>4810</v>
      </c>
      <c r="C171" s="18" t="s">
        <v>133</v>
      </c>
      <c r="D171" s="82">
        <v>0</v>
      </c>
      <c r="E171" s="99">
        <v>0</v>
      </c>
      <c r="F171" s="99">
        <v>0</v>
      </c>
      <c r="G171" s="82"/>
      <c r="H171" s="93">
        <v>53700</v>
      </c>
      <c r="I171" s="93">
        <v>17595</v>
      </c>
      <c r="J171" s="99">
        <v>0</v>
      </c>
      <c r="K171" s="93">
        <v>17595</v>
      </c>
    </row>
    <row r="172" spans="1:11" ht="12.75">
      <c r="A172" s="114">
        <v>75478</v>
      </c>
      <c r="B172" s="26"/>
      <c r="C172" s="19" t="s">
        <v>165</v>
      </c>
      <c r="D172" s="92">
        <f aca="true" t="shared" si="25" ref="D172:J172">SUM(D173:D177)</f>
        <v>287468</v>
      </c>
      <c r="E172" s="100">
        <f t="shared" si="25"/>
        <v>0</v>
      </c>
      <c r="F172" s="100">
        <f t="shared" si="25"/>
        <v>263096.05</v>
      </c>
      <c r="G172" s="92">
        <f t="shared" si="25"/>
        <v>284452</v>
      </c>
      <c r="H172" s="92">
        <f t="shared" si="25"/>
        <v>0</v>
      </c>
      <c r="I172" s="92">
        <f t="shared" si="25"/>
        <v>16964</v>
      </c>
      <c r="J172" s="100">
        <f t="shared" si="25"/>
        <v>16915.4</v>
      </c>
      <c r="K172" s="92">
        <f>SUM(K173:K177)</f>
        <v>16964</v>
      </c>
    </row>
    <row r="173" spans="1:11" ht="12.75">
      <c r="A173" s="115"/>
      <c r="B173" s="27">
        <v>3030</v>
      </c>
      <c r="C173" s="18" t="s">
        <v>34</v>
      </c>
      <c r="D173" s="82">
        <v>48595</v>
      </c>
      <c r="E173" s="99">
        <v>0</v>
      </c>
      <c r="F173" s="99">
        <v>48595</v>
      </c>
      <c r="G173" s="82">
        <v>48595</v>
      </c>
      <c r="H173" s="82">
        <v>0</v>
      </c>
      <c r="I173" s="82">
        <v>3190</v>
      </c>
      <c r="J173" s="99">
        <v>3190</v>
      </c>
      <c r="K173" s="82">
        <v>3190</v>
      </c>
    </row>
    <row r="174" spans="1:11" ht="12.75">
      <c r="A174" s="115"/>
      <c r="B174" s="27">
        <v>4210</v>
      </c>
      <c r="C174" s="18" t="s">
        <v>14</v>
      </c>
      <c r="D174" s="82">
        <v>115073</v>
      </c>
      <c r="E174" s="99">
        <v>0</v>
      </c>
      <c r="F174" s="99">
        <v>110927.13</v>
      </c>
      <c r="G174" s="82">
        <v>115073</v>
      </c>
      <c r="H174" s="82">
        <v>0</v>
      </c>
      <c r="I174" s="82">
        <v>9109</v>
      </c>
      <c r="J174" s="99">
        <v>9108.47</v>
      </c>
      <c r="K174" s="82">
        <v>9109</v>
      </c>
    </row>
    <row r="175" spans="1:11" ht="12.75">
      <c r="A175" s="115"/>
      <c r="B175" s="27">
        <v>4300</v>
      </c>
      <c r="C175" s="18" t="s">
        <v>15</v>
      </c>
      <c r="D175" s="82">
        <v>349</v>
      </c>
      <c r="E175" s="99">
        <v>0</v>
      </c>
      <c r="F175" s="99">
        <v>349</v>
      </c>
      <c r="G175" s="82">
        <v>349</v>
      </c>
      <c r="H175" s="82">
        <v>0</v>
      </c>
      <c r="I175" s="82">
        <v>4665</v>
      </c>
      <c r="J175" s="99">
        <v>4616.93</v>
      </c>
      <c r="K175" s="82">
        <v>4665</v>
      </c>
    </row>
    <row r="176" spans="1:11" ht="12.75" hidden="1">
      <c r="A176" s="115"/>
      <c r="B176" s="27">
        <v>4300</v>
      </c>
      <c r="C176" s="18" t="s">
        <v>15</v>
      </c>
      <c r="D176" s="82">
        <f>118331-4880</f>
        <v>113451</v>
      </c>
      <c r="E176" s="99">
        <v>0</v>
      </c>
      <c r="F176" s="99">
        <f>108104.92-4880</f>
        <v>103224.92</v>
      </c>
      <c r="G176" s="82">
        <v>113451</v>
      </c>
      <c r="H176" s="82">
        <v>0</v>
      </c>
      <c r="I176" s="82">
        <v>0</v>
      </c>
      <c r="J176" s="99"/>
      <c r="K176" s="82">
        <v>0</v>
      </c>
    </row>
    <row r="177" spans="1:11" ht="12.75" hidden="1">
      <c r="A177" s="115"/>
      <c r="B177" s="146">
        <v>6060</v>
      </c>
      <c r="C177" s="18" t="s">
        <v>61</v>
      </c>
      <c r="D177" s="82">
        <v>10000</v>
      </c>
      <c r="E177" s="99">
        <v>0</v>
      </c>
      <c r="F177" s="99">
        <v>0</v>
      </c>
      <c r="G177" s="82">
        <v>6984</v>
      </c>
      <c r="H177" s="82">
        <v>0</v>
      </c>
      <c r="I177" s="82">
        <v>0</v>
      </c>
      <c r="J177" s="99">
        <v>0</v>
      </c>
      <c r="K177" s="82">
        <v>0</v>
      </c>
    </row>
    <row r="178" spans="1:11" ht="12.75" hidden="1">
      <c r="A178" s="114">
        <v>75495</v>
      </c>
      <c r="B178" s="26"/>
      <c r="C178" s="19" t="s">
        <v>13</v>
      </c>
      <c r="D178" s="92">
        <f>SUM(D179)</f>
        <v>0</v>
      </c>
      <c r="E178" s="100">
        <f>SUM(E179)</f>
        <v>33030.48</v>
      </c>
      <c r="F178" s="100">
        <f>SUM(F179)</f>
        <v>0</v>
      </c>
      <c r="G178" s="92"/>
      <c r="H178" s="92">
        <f>SUM(H179)</f>
        <v>0</v>
      </c>
      <c r="I178" s="92">
        <f>SUM(I179)</f>
        <v>0</v>
      </c>
      <c r="J178" s="100">
        <f>SUM(J179)</f>
        <v>0</v>
      </c>
      <c r="K178" s="92">
        <f>SUM(K179)</f>
        <v>0</v>
      </c>
    </row>
    <row r="179" spans="1:11" ht="12.75" hidden="1">
      <c r="A179" s="115"/>
      <c r="B179" s="27">
        <v>6050</v>
      </c>
      <c r="C179" s="18" t="s">
        <v>26</v>
      </c>
      <c r="D179" s="82">
        <v>0</v>
      </c>
      <c r="E179" s="99">
        <v>33030.48</v>
      </c>
      <c r="F179" s="99">
        <v>0</v>
      </c>
      <c r="G179" s="82"/>
      <c r="H179" s="82">
        <v>0</v>
      </c>
      <c r="I179" s="82">
        <v>0</v>
      </c>
      <c r="J179" s="99">
        <v>0</v>
      </c>
      <c r="K179" s="82">
        <v>0</v>
      </c>
    </row>
    <row r="180" spans="1:11" ht="38.25">
      <c r="A180" s="172">
        <v>756</v>
      </c>
      <c r="B180" s="173"/>
      <c r="C180" s="174" t="s">
        <v>64</v>
      </c>
      <c r="D180" s="91">
        <f aca="true" t="shared" si="26" ref="D180:K180">SUM(D181)</f>
        <v>94500</v>
      </c>
      <c r="E180" s="103">
        <f t="shared" si="26"/>
        <v>79358.6</v>
      </c>
      <c r="F180" s="103">
        <f t="shared" si="26"/>
        <v>70663.19</v>
      </c>
      <c r="G180" s="91">
        <f t="shared" si="26"/>
        <v>92500</v>
      </c>
      <c r="H180" s="91">
        <f t="shared" si="26"/>
        <v>96500</v>
      </c>
      <c r="I180" s="91">
        <f t="shared" si="26"/>
        <v>104000</v>
      </c>
      <c r="J180" s="103">
        <f t="shared" si="26"/>
        <v>71714.9</v>
      </c>
      <c r="K180" s="91">
        <f t="shared" si="26"/>
        <v>104000</v>
      </c>
    </row>
    <row r="181" spans="1:11" ht="25.5">
      <c r="A181" s="114">
        <v>75647</v>
      </c>
      <c r="B181" s="26"/>
      <c r="C181" s="19" t="s">
        <v>65</v>
      </c>
      <c r="D181" s="92">
        <f aca="true" t="shared" si="27" ref="D181:J181">SUM(D182:D185)</f>
        <v>94500</v>
      </c>
      <c r="E181" s="100">
        <f t="shared" si="27"/>
        <v>79358.6</v>
      </c>
      <c r="F181" s="100">
        <f t="shared" si="27"/>
        <v>70663.19</v>
      </c>
      <c r="G181" s="92">
        <f t="shared" si="27"/>
        <v>92500</v>
      </c>
      <c r="H181" s="92">
        <f t="shared" si="27"/>
        <v>96500</v>
      </c>
      <c r="I181" s="92">
        <f t="shared" si="27"/>
        <v>104000</v>
      </c>
      <c r="J181" s="100">
        <f t="shared" si="27"/>
        <v>71714.9</v>
      </c>
      <c r="K181" s="92">
        <f>SUM(K182:K185)</f>
        <v>104000</v>
      </c>
    </row>
    <row r="182" spans="1:11" ht="12.75">
      <c r="A182" s="115"/>
      <c r="B182" s="27">
        <v>4100</v>
      </c>
      <c r="C182" s="18" t="s">
        <v>66</v>
      </c>
      <c r="D182" s="82">
        <v>88000</v>
      </c>
      <c r="E182" s="99">
        <v>78333.8</v>
      </c>
      <c r="F182" s="99">
        <v>67454.3</v>
      </c>
      <c r="G182" s="82">
        <v>88000</v>
      </c>
      <c r="H182" s="82">
        <v>91000</v>
      </c>
      <c r="I182" s="82">
        <v>96500</v>
      </c>
      <c r="J182" s="99">
        <v>66112.9</v>
      </c>
      <c r="K182" s="82">
        <v>96500</v>
      </c>
    </row>
    <row r="183" spans="1:11" ht="12.75">
      <c r="A183" s="115"/>
      <c r="B183" s="27">
        <v>4210</v>
      </c>
      <c r="C183" s="18" t="s">
        <v>14</v>
      </c>
      <c r="D183" s="82">
        <v>1500</v>
      </c>
      <c r="E183" s="99">
        <v>1024.8</v>
      </c>
      <c r="F183" s="99">
        <v>597.8</v>
      </c>
      <c r="G183" s="82">
        <v>1000</v>
      </c>
      <c r="H183" s="82">
        <v>1000</v>
      </c>
      <c r="I183" s="82">
        <v>3200</v>
      </c>
      <c r="J183" s="99">
        <v>2514.77</v>
      </c>
      <c r="K183" s="82">
        <v>3200</v>
      </c>
    </row>
    <row r="184" spans="1:11" ht="12.75">
      <c r="A184" s="115"/>
      <c r="B184" s="27">
        <v>4300</v>
      </c>
      <c r="C184" s="18" t="s">
        <v>15</v>
      </c>
      <c r="D184" s="82">
        <v>1500</v>
      </c>
      <c r="E184" s="99">
        <v>0</v>
      </c>
      <c r="F184" s="99">
        <v>0</v>
      </c>
      <c r="G184" s="82">
        <v>0</v>
      </c>
      <c r="H184" s="82">
        <v>1000</v>
      </c>
      <c r="I184" s="82">
        <v>800</v>
      </c>
      <c r="J184" s="99">
        <v>602.7</v>
      </c>
      <c r="K184" s="82">
        <v>800</v>
      </c>
    </row>
    <row r="185" spans="1:11" ht="12.75">
      <c r="A185" s="115"/>
      <c r="B185" s="27">
        <v>4610</v>
      </c>
      <c r="C185" s="18" t="s">
        <v>139</v>
      </c>
      <c r="D185" s="82">
        <v>3500</v>
      </c>
      <c r="E185" s="99">
        <v>0</v>
      </c>
      <c r="F185" s="99">
        <v>2611.09</v>
      </c>
      <c r="G185" s="82">
        <v>3500</v>
      </c>
      <c r="H185" s="82">
        <v>3500</v>
      </c>
      <c r="I185" s="82">
        <v>3500</v>
      </c>
      <c r="J185" s="99">
        <v>2484.53</v>
      </c>
      <c r="K185" s="82">
        <v>3500</v>
      </c>
    </row>
    <row r="186" spans="1:11" ht="12.75">
      <c r="A186" s="113">
        <v>757</v>
      </c>
      <c r="B186" s="89"/>
      <c r="C186" s="90" t="s">
        <v>67</v>
      </c>
      <c r="D186" s="91">
        <f aca="true" t="shared" si="28" ref="D186:J186">D190+D187</f>
        <v>426199</v>
      </c>
      <c r="E186" s="103">
        <f t="shared" si="28"/>
        <v>167598.67</v>
      </c>
      <c r="F186" s="103">
        <f t="shared" si="28"/>
        <v>357310.41000000003</v>
      </c>
      <c r="G186" s="91">
        <f t="shared" si="28"/>
        <v>513005</v>
      </c>
      <c r="H186" s="91">
        <f t="shared" si="28"/>
        <v>567409</v>
      </c>
      <c r="I186" s="91">
        <f t="shared" si="28"/>
        <v>567409</v>
      </c>
      <c r="J186" s="103">
        <f t="shared" si="28"/>
        <v>485850.6</v>
      </c>
      <c r="K186" s="91">
        <f>K190+K187</f>
        <v>567409</v>
      </c>
    </row>
    <row r="187" spans="1:11" ht="25.5">
      <c r="A187" s="114">
        <v>75702</v>
      </c>
      <c r="B187" s="26"/>
      <c r="C187" s="19" t="s">
        <v>68</v>
      </c>
      <c r="D187" s="92">
        <f aca="true" t="shared" si="29" ref="D187:J187">SUM(D188:D189)</f>
        <v>425000</v>
      </c>
      <c r="E187" s="100">
        <f t="shared" si="29"/>
        <v>167598.67</v>
      </c>
      <c r="F187" s="100">
        <f t="shared" si="29"/>
        <v>357310.41000000003</v>
      </c>
      <c r="G187" s="92">
        <f t="shared" si="29"/>
        <v>513005</v>
      </c>
      <c r="H187" s="92">
        <f t="shared" si="29"/>
        <v>566210</v>
      </c>
      <c r="I187" s="92">
        <f t="shared" si="29"/>
        <v>567409</v>
      </c>
      <c r="J187" s="100">
        <f t="shared" si="29"/>
        <v>485850.6</v>
      </c>
      <c r="K187" s="92">
        <f>SUM(K188:K189)</f>
        <v>567409</v>
      </c>
    </row>
    <row r="188" spans="1:11" ht="12.75">
      <c r="A188" s="114"/>
      <c r="B188" s="27">
        <v>8010</v>
      </c>
      <c r="C188" s="18" t="s">
        <v>154</v>
      </c>
      <c r="D188" s="82">
        <v>121000</v>
      </c>
      <c r="E188" s="99">
        <v>32000</v>
      </c>
      <c r="F188" s="99">
        <v>117005</v>
      </c>
      <c r="G188" s="82">
        <v>147005</v>
      </c>
      <c r="H188" s="82">
        <v>1500</v>
      </c>
      <c r="I188" s="82">
        <v>1500</v>
      </c>
      <c r="J188" s="99">
        <v>0</v>
      </c>
      <c r="K188" s="82">
        <v>1500</v>
      </c>
    </row>
    <row r="189" spans="1:11" ht="38.25">
      <c r="A189" s="115"/>
      <c r="B189" s="27">
        <v>8110</v>
      </c>
      <c r="C189" s="18" t="s">
        <v>170</v>
      </c>
      <c r="D189" s="82">
        <v>304000</v>
      </c>
      <c r="E189" s="99">
        <v>135598.67</v>
      </c>
      <c r="F189" s="99">
        <v>240305.41</v>
      </c>
      <c r="G189" s="82">
        <v>366000</v>
      </c>
      <c r="H189" s="93">
        <v>564710</v>
      </c>
      <c r="I189" s="93">
        <v>565909</v>
      </c>
      <c r="J189" s="99">
        <v>485850.6</v>
      </c>
      <c r="K189" s="93">
        <v>565909</v>
      </c>
    </row>
    <row r="190" spans="1:11" ht="27.75" customHeight="1" hidden="1">
      <c r="A190" s="114">
        <v>75704</v>
      </c>
      <c r="B190" s="26"/>
      <c r="C190" s="19" t="s">
        <v>143</v>
      </c>
      <c r="D190" s="92">
        <f aca="true" t="shared" si="30" ref="D190:K190">SUM(D191:D191)</f>
        <v>1199</v>
      </c>
      <c r="E190" s="100">
        <f t="shared" si="30"/>
        <v>0</v>
      </c>
      <c r="F190" s="100">
        <f t="shared" si="30"/>
        <v>0</v>
      </c>
      <c r="G190" s="92">
        <f t="shared" si="30"/>
        <v>0</v>
      </c>
      <c r="H190" s="92">
        <f t="shared" si="30"/>
        <v>1199</v>
      </c>
      <c r="I190" s="92">
        <f t="shared" si="30"/>
        <v>0</v>
      </c>
      <c r="J190" s="100">
        <f t="shared" si="30"/>
        <v>0</v>
      </c>
      <c r="K190" s="92">
        <f t="shared" si="30"/>
        <v>0</v>
      </c>
    </row>
    <row r="191" spans="1:11" ht="12.75" hidden="1">
      <c r="A191" s="115"/>
      <c r="B191" s="27">
        <v>8020</v>
      </c>
      <c r="C191" s="18" t="s">
        <v>142</v>
      </c>
      <c r="D191" s="82">
        <v>1199</v>
      </c>
      <c r="E191" s="99">
        <v>0</v>
      </c>
      <c r="F191" s="99">
        <v>0</v>
      </c>
      <c r="G191" s="82">
        <v>0</v>
      </c>
      <c r="H191" s="82">
        <v>1199</v>
      </c>
      <c r="I191" s="82">
        <v>0</v>
      </c>
      <c r="J191" s="99">
        <v>0</v>
      </c>
      <c r="K191" s="82">
        <v>0</v>
      </c>
    </row>
    <row r="192" spans="1:11" ht="12.75" hidden="1">
      <c r="A192" s="113">
        <v>758</v>
      </c>
      <c r="B192" s="89"/>
      <c r="C192" s="90" t="s">
        <v>70</v>
      </c>
      <c r="D192" s="91">
        <f aca="true" t="shared" si="31" ref="D192:K193">SUM(D193)</f>
        <v>387661</v>
      </c>
      <c r="E192" s="103">
        <f t="shared" si="31"/>
        <v>0</v>
      </c>
      <c r="F192" s="103">
        <f t="shared" si="31"/>
        <v>0</v>
      </c>
      <c r="G192" s="91">
        <f t="shared" si="31"/>
        <v>0</v>
      </c>
      <c r="H192" s="91">
        <f t="shared" si="31"/>
        <v>25500</v>
      </c>
      <c r="I192" s="91">
        <f t="shared" si="31"/>
        <v>0</v>
      </c>
      <c r="J192" s="103">
        <f t="shared" si="31"/>
        <v>0</v>
      </c>
      <c r="K192" s="91">
        <f t="shared" si="31"/>
        <v>0</v>
      </c>
    </row>
    <row r="193" spans="1:11" ht="12.75" hidden="1">
      <c r="A193" s="114">
        <v>75818</v>
      </c>
      <c r="B193" s="26"/>
      <c r="C193" s="19" t="s">
        <v>63</v>
      </c>
      <c r="D193" s="92">
        <f t="shared" si="31"/>
        <v>387661</v>
      </c>
      <c r="E193" s="100">
        <f t="shared" si="31"/>
        <v>0</v>
      </c>
      <c r="F193" s="100">
        <f t="shared" si="31"/>
        <v>0</v>
      </c>
      <c r="G193" s="92">
        <f t="shared" si="31"/>
        <v>0</v>
      </c>
      <c r="H193" s="92">
        <f t="shared" si="31"/>
        <v>25500</v>
      </c>
      <c r="I193" s="92">
        <f t="shared" si="31"/>
        <v>0</v>
      </c>
      <c r="J193" s="100">
        <f t="shared" si="31"/>
        <v>0</v>
      </c>
      <c r="K193" s="92">
        <f t="shared" si="31"/>
        <v>0</v>
      </c>
    </row>
    <row r="194" spans="1:11" ht="12.75" hidden="1">
      <c r="A194" s="115"/>
      <c r="B194" s="27">
        <v>4810</v>
      </c>
      <c r="C194" s="18" t="s">
        <v>133</v>
      </c>
      <c r="D194" s="82">
        <v>387661</v>
      </c>
      <c r="E194" s="99">
        <v>0</v>
      </c>
      <c r="F194" s="99">
        <v>0</v>
      </c>
      <c r="G194" s="82">
        <v>0</v>
      </c>
      <c r="H194" s="93">
        <v>25500</v>
      </c>
      <c r="I194" s="93">
        <v>0</v>
      </c>
      <c r="J194" s="99">
        <v>0</v>
      </c>
      <c r="K194" s="93">
        <v>0</v>
      </c>
    </row>
    <row r="195" spans="1:11" ht="12.75">
      <c r="A195" s="113">
        <v>801</v>
      </c>
      <c r="B195" s="89"/>
      <c r="C195" s="90" t="s">
        <v>71</v>
      </c>
      <c r="D195" s="91">
        <f aca="true" t="shared" si="32" ref="D195:J195">SUM(D196,D221,D237,D263,D286,D301,D323,D327,D344)</f>
        <v>11865057</v>
      </c>
      <c r="E195" s="103">
        <f t="shared" si="32"/>
        <v>11152878.340000002</v>
      </c>
      <c r="F195" s="103">
        <f t="shared" si="32"/>
        <v>9074303.48</v>
      </c>
      <c r="G195" s="91">
        <f t="shared" si="32"/>
        <v>12524207.22</v>
      </c>
      <c r="H195" s="91">
        <f t="shared" si="32"/>
        <v>13075279</v>
      </c>
      <c r="I195" s="91">
        <f t="shared" si="32"/>
        <v>13035455</v>
      </c>
      <c r="J195" s="103">
        <f t="shared" si="32"/>
        <v>9073137.36</v>
      </c>
      <c r="K195" s="91">
        <f>SUM(K196,K221,K237,K263,K286,K301,K323,K327,K344)</f>
        <v>13032355</v>
      </c>
    </row>
    <row r="196" spans="1:11" ht="12.75">
      <c r="A196" s="114">
        <v>80101</v>
      </c>
      <c r="B196" s="26"/>
      <c r="C196" s="19" t="s">
        <v>72</v>
      </c>
      <c r="D196" s="92">
        <f aca="true" t="shared" si="33" ref="D196:J196">SUM(D197:D220)</f>
        <v>5815473</v>
      </c>
      <c r="E196" s="100">
        <f t="shared" si="33"/>
        <v>5750023.180000001</v>
      </c>
      <c r="F196" s="100">
        <f t="shared" si="33"/>
        <v>4500774.670000001</v>
      </c>
      <c r="G196" s="92">
        <f t="shared" si="33"/>
        <v>6200976</v>
      </c>
      <c r="H196" s="92">
        <f t="shared" si="33"/>
        <v>6562091</v>
      </c>
      <c r="I196" s="92">
        <f t="shared" si="33"/>
        <v>6526706</v>
      </c>
      <c r="J196" s="100">
        <f t="shared" si="33"/>
        <v>4591213.930000001</v>
      </c>
      <c r="K196" s="92">
        <f>SUM(K197:K220)</f>
        <v>6518756</v>
      </c>
    </row>
    <row r="197" spans="1:11" ht="12.75">
      <c r="A197" s="115"/>
      <c r="B197" s="27">
        <v>3020</v>
      </c>
      <c r="C197" s="18" t="s">
        <v>73</v>
      </c>
      <c r="D197" s="82">
        <v>341830</v>
      </c>
      <c r="E197" s="99">
        <v>359552.9</v>
      </c>
      <c r="F197" s="99">
        <v>287486.2</v>
      </c>
      <c r="G197" s="82">
        <v>388303</v>
      </c>
      <c r="H197" s="82">
        <v>419000</v>
      </c>
      <c r="I197" s="82">
        <v>376012</v>
      </c>
      <c r="J197" s="99">
        <v>295057.39</v>
      </c>
      <c r="K197" s="82">
        <v>376012</v>
      </c>
    </row>
    <row r="198" spans="1:11" ht="12.75">
      <c r="A198" s="115"/>
      <c r="B198" s="27">
        <v>4010</v>
      </c>
      <c r="C198" s="18" t="s">
        <v>37</v>
      </c>
      <c r="D198" s="82">
        <v>3509226</v>
      </c>
      <c r="E198" s="99">
        <v>3325341.56</v>
      </c>
      <c r="F198" s="99">
        <v>2672854.08</v>
      </c>
      <c r="G198" s="82">
        <v>3778178</v>
      </c>
      <c r="H198" s="82">
        <v>4042650</v>
      </c>
      <c r="I198" s="82">
        <v>3914761</v>
      </c>
      <c r="J198" s="99">
        <v>2740044.22</v>
      </c>
      <c r="K198" s="82">
        <v>3914761</v>
      </c>
    </row>
    <row r="199" spans="1:11" ht="12.75">
      <c r="A199" s="115"/>
      <c r="B199" s="27">
        <v>4040</v>
      </c>
      <c r="C199" s="18" t="s">
        <v>38</v>
      </c>
      <c r="D199" s="82">
        <v>285189</v>
      </c>
      <c r="E199" s="99">
        <v>251703.75</v>
      </c>
      <c r="F199" s="99">
        <v>273162.16</v>
      </c>
      <c r="G199" s="82">
        <v>273162</v>
      </c>
      <c r="H199" s="82">
        <v>294100</v>
      </c>
      <c r="I199" s="82">
        <v>297178</v>
      </c>
      <c r="J199" s="99">
        <v>295591.41</v>
      </c>
      <c r="K199" s="82">
        <v>297178</v>
      </c>
    </row>
    <row r="200" spans="1:11" ht="12.75">
      <c r="A200" s="115"/>
      <c r="B200" s="27">
        <v>4110</v>
      </c>
      <c r="C200" s="18" t="s">
        <v>39</v>
      </c>
      <c r="D200" s="82">
        <v>613669</v>
      </c>
      <c r="E200" s="99">
        <v>553937.7</v>
      </c>
      <c r="F200" s="99">
        <v>475517.46</v>
      </c>
      <c r="G200" s="82">
        <v>693705</v>
      </c>
      <c r="H200" s="82">
        <v>748200</v>
      </c>
      <c r="I200" s="82">
        <v>811291</v>
      </c>
      <c r="J200" s="99">
        <v>460471.7</v>
      </c>
      <c r="K200" s="82">
        <v>811291</v>
      </c>
    </row>
    <row r="201" spans="1:11" ht="12.75">
      <c r="A201" s="115"/>
      <c r="B201" s="27">
        <v>4120</v>
      </c>
      <c r="C201" s="18" t="s">
        <v>40</v>
      </c>
      <c r="D201" s="82">
        <v>101447</v>
      </c>
      <c r="E201" s="99">
        <v>88177</v>
      </c>
      <c r="F201" s="99">
        <v>75044.89</v>
      </c>
      <c r="G201" s="82">
        <v>109403</v>
      </c>
      <c r="H201" s="82">
        <v>117160</v>
      </c>
      <c r="I201" s="82">
        <v>112633</v>
      </c>
      <c r="J201" s="99">
        <v>70826.67</v>
      </c>
      <c r="K201" s="82">
        <v>112633</v>
      </c>
    </row>
    <row r="202" spans="1:11" ht="25.5">
      <c r="A202" s="115"/>
      <c r="B202" s="27">
        <v>4140</v>
      </c>
      <c r="C202" s="18" t="s">
        <v>41</v>
      </c>
      <c r="D202" s="82">
        <v>4000</v>
      </c>
      <c r="E202" s="99">
        <v>1248</v>
      </c>
      <c r="F202" s="99">
        <v>413</v>
      </c>
      <c r="G202" s="82">
        <v>413</v>
      </c>
      <c r="H202" s="82">
        <v>500</v>
      </c>
      <c r="I202" s="82">
        <v>500</v>
      </c>
      <c r="J202" s="99">
        <v>0</v>
      </c>
      <c r="K202" s="82">
        <v>500</v>
      </c>
    </row>
    <row r="203" spans="1:11" ht="12.75">
      <c r="A203" s="115"/>
      <c r="B203" s="27">
        <v>4170</v>
      </c>
      <c r="C203" s="18" t="s">
        <v>42</v>
      </c>
      <c r="D203" s="82">
        <v>30850</v>
      </c>
      <c r="E203" s="99">
        <v>7893.4</v>
      </c>
      <c r="F203" s="99">
        <v>19117.37</v>
      </c>
      <c r="G203" s="82">
        <v>30850</v>
      </c>
      <c r="H203" s="82">
        <v>33300</v>
      </c>
      <c r="I203" s="82">
        <v>33300</v>
      </c>
      <c r="J203" s="99">
        <v>13102.32</v>
      </c>
      <c r="K203" s="82">
        <v>26900</v>
      </c>
    </row>
    <row r="204" spans="1:11" ht="12.75">
      <c r="A204" s="115"/>
      <c r="B204" s="27">
        <v>4210</v>
      </c>
      <c r="C204" s="18" t="s">
        <v>14</v>
      </c>
      <c r="D204" s="82">
        <v>427674</v>
      </c>
      <c r="E204" s="99">
        <v>414671.44</v>
      </c>
      <c r="F204" s="99">
        <v>306605.85</v>
      </c>
      <c r="G204" s="82">
        <v>427674</v>
      </c>
      <c r="H204" s="82">
        <v>430000</v>
      </c>
      <c r="I204" s="82">
        <v>465350</v>
      </c>
      <c r="J204" s="99">
        <v>304344.3</v>
      </c>
      <c r="K204" s="82">
        <v>466380</v>
      </c>
    </row>
    <row r="205" spans="1:11" ht="12.75">
      <c r="A205" s="115"/>
      <c r="B205" s="27">
        <v>4240</v>
      </c>
      <c r="C205" s="18" t="s">
        <v>74</v>
      </c>
      <c r="D205" s="82">
        <v>18000</v>
      </c>
      <c r="E205" s="99">
        <v>83756.29</v>
      </c>
      <c r="F205" s="99">
        <v>12809.39</v>
      </c>
      <c r="G205" s="82">
        <v>18000</v>
      </c>
      <c r="H205" s="82">
        <v>18000</v>
      </c>
      <c r="I205" s="82">
        <v>20000</v>
      </c>
      <c r="J205" s="99">
        <v>12400.06</v>
      </c>
      <c r="K205" s="82">
        <v>20000</v>
      </c>
    </row>
    <row r="206" spans="1:11" ht="12.75">
      <c r="A206" s="115"/>
      <c r="B206" s="27">
        <v>4260</v>
      </c>
      <c r="C206" s="18" t="s">
        <v>43</v>
      </c>
      <c r="D206" s="82">
        <v>81000</v>
      </c>
      <c r="E206" s="99">
        <v>74027.28</v>
      </c>
      <c r="F206" s="99">
        <v>51748.44</v>
      </c>
      <c r="G206" s="82">
        <v>78500</v>
      </c>
      <c r="H206" s="82">
        <v>78500</v>
      </c>
      <c r="I206" s="82">
        <v>78500</v>
      </c>
      <c r="J206" s="99">
        <v>47086.81</v>
      </c>
      <c r="K206" s="82">
        <v>76300</v>
      </c>
    </row>
    <row r="207" spans="1:11" ht="12.75">
      <c r="A207" s="115"/>
      <c r="B207" s="27">
        <v>4270</v>
      </c>
      <c r="C207" s="18" t="s">
        <v>24</v>
      </c>
      <c r="D207" s="82">
        <v>51200</v>
      </c>
      <c r="E207" s="99">
        <v>83963.56</v>
      </c>
      <c r="F207" s="99">
        <v>33276.81</v>
      </c>
      <c r="G207" s="82">
        <v>51200</v>
      </c>
      <c r="H207" s="82">
        <v>40000</v>
      </c>
      <c r="I207" s="82">
        <v>89000</v>
      </c>
      <c r="J207" s="99">
        <v>68942.16</v>
      </c>
      <c r="K207" s="82">
        <v>90500</v>
      </c>
    </row>
    <row r="208" spans="1:11" ht="12.75">
      <c r="A208" s="115"/>
      <c r="B208" s="27">
        <v>4280</v>
      </c>
      <c r="C208" s="18" t="s">
        <v>44</v>
      </c>
      <c r="D208" s="82">
        <v>5700</v>
      </c>
      <c r="E208" s="99">
        <v>2259</v>
      </c>
      <c r="F208" s="99">
        <v>1859</v>
      </c>
      <c r="G208" s="82">
        <v>5700</v>
      </c>
      <c r="H208" s="82">
        <v>5800</v>
      </c>
      <c r="I208" s="82">
        <v>5800</v>
      </c>
      <c r="J208" s="99">
        <v>1450</v>
      </c>
      <c r="K208" s="82">
        <v>5460</v>
      </c>
    </row>
    <row r="209" spans="1:11" ht="12.75">
      <c r="A209" s="115"/>
      <c r="B209" s="27">
        <v>4300</v>
      </c>
      <c r="C209" s="18" t="s">
        <v>15</v>
      </c>
      <c r="D209" s="82">
        <v>74000</v>
      </c>
      <c r="E209" s="99">
        <v>146752.34</v>
      </c>
      <c r="F209" s="99">
        <v>43376.51</v>
      </c>
      <c r="G209" s="82">
        <v>74000</v>
      </c>
      <c r="H209" s="82">
        <v>75000</v>
      </c>
      <c r="I209" s="82">
        <v>61150</v>
      </c>
      <c r="J209" s="99">
        <v>37407.49</v>
      </c>
      <c r="K209" s="82">
        <v>61750</v>
      </c>
    </row>
    <row r="210" spans="1:11" ht="12.75">
      <c r="A210" s="115"/>
      <c r="B210" s="27">
        <v>4350</v>
      </c>
      <c r="C210" s="18" t="s">
        <v>55</v>
      </c>
      <c r="D210" s="82">
        <v>3050</v>
      </c>
      <c r="E210" s="99">
        <v>1044.71</v>
      </c>
      <c r="F210" s="99">
        <v>783</v>
      </c>
      <c r="G210" s="82">
        <v>3050</v>
      </c>
      <c r="H210" s="82">
        <v>3150</v>
      </c>
      <c r="I210" s="82">
        <v>3150</v>
      </c>
      <c r="J210" s="99">
        <v>772.59</v>
      </c>
      <c r="K210" s="82">
        <v>1610</v>
      </c>
    </row>
    <row r="211" spans="1:11" ht="25.5">
      <c r="A211" s="115"/>
      <c r="B211" s="27">
        <v>4360</v>
      </c>
      <c r="C211" s="18" t="s">
        <v>46</v>
      </c>
      <c r="D211" s="82">
        <v>3650</v>
      </c>
      <c r="E211" s="99">
        <v>3582.39</v>
      </c>
      <c r="F211" s="99">
        <v>2776.33</v>
      </c>
      <c r="G211" s="82">
        <v>3850</v>
      </c>
      <c r="H211" s="82">
        <v>4000</v>
      </c>
      <c r="I211" s="82">
        <v>4300</v>
      </c>
      <c r="J211" s="99">
        <v>2205.62</v>
      </c>
      <c r="K211" s="82">
        <v>4000</v>
      </c>
    </row>
    <row r="212" spans="1:11" ht="25.5">
      <c r="A212" s="115"/>
      <c r="B212" s="27">
        <v>4370</v>
      </c>
      <c r="C212" s="18" t="s">
        <v>47</v>
      </c>
      <c r="D212" s="82">
        <v>8500</v>
      </c>
      <c r="E212" s="99">
        <v>6652.91</v>
      </c>
      <c r="F212" s="99">
        <v>4223.67</v>
      </c>
      <c r="G212" s="82">
        <v>8500</v>
      </c>
      <c r="H212" s="82">
        <v>8800</v>
      </c>
      <c r="I212" s="82">
        <v>8500</v>
      </c>
      <c r="J212" s="99">
        <v>4308.28</v>
      </c>
      <c r="K212" s="82">
        <v>8200</v>
      </c>
    </row>
    <row r="213" spans="1:11" ht="12.75">
      <c r="A213" s="115"/>
      <c r="B213" s="27">
        <v>4410</v>
      </c>
      <c r="C213" s="18" t="s">
        <v>48</v>
      </c>
      <c r="D213" s="82">
        <v>6300</v>
      </c>
      <c r="E213" s="99">
        <v>5875.16</v>
      </c>
      <c r="F213" s="99">
        <v>4966.41</v>
      </c>
      <c r="G213" s="82">
        <v>7000</v>
      </c>
      <c r="H213" s="82">
        <v>7250</v>
      </c>
      <c r="I213" s="82">
        <v>8100</v>
      </c>
      <c r="J213" s="99">
        <v>4627.49</v>
      </c>
      <c r="K213" s="82">
        <v>8100</v>
      </c>
    </row>
    <row r="214" spans="1:11" ht="12.75">
      <c r="A214" s="115"/>
      <c r="B214" s="27">
        <v>4420</v>
      </c>
      <c r="C214" s="18" t="s">
        <v>49</v>
      </c>
      <c r="D214" s="82"/>
      <c r="E214" s="99"/>
      <c r="F214" s="99"/>
      <c r="G214" s="82"/>
      <c r="H214" s="82"/>
      <c r="I214" s="82">
        <v>500</v>
      </c>
      <c r="J214" s="99">
        <v>472.05</v>
      </c>
      <c r="K214" s="82">
        <v>500</v>
      </c>
    </row>
    <row r="215" spans="1:11" ht="12.75">
      <c r="A215" s="115"/>
      <c r="B215" s="27">
        <v>4430</v>
      </c>
      <c r="C215" s="18" t="s">
        <v>16</v>
      </c>
      <c r="D215" s="82">
        <v>9000</v>
      </c>
      <c r="E215" s="99">
        <v>6838</v>
      </c>
      <c r="F215" s="99">
        <v>4092.78</v>
      </c>
      <c r="G215" s="82">
        <v>9000</v>
      </c>
      <c r="H215" s="82">
        <v>9300</v>
      </c>
      <c r="I215" s="82">
        <v>9300</v>
      </c>
      <c r="J215" s="99">
        <v>4722.37</v>
      </c>
      <c r="K215" s="82">
        <v>9300</v>
      </c>
    </row>
    <row r="216" spans="1:11" ht="12.75">
      <c r="A216" s="115"/>
      <c r="B216" s="27">
        <v>4440</v>
      </c>
      <c r="C216" s="18" t="s">
        <v>50</v>
      </c>
      <c r="D216" s="82">
        <v>217397</v>
      </c>
      <c r="E216" s="99">
        <v>200077</v>
      </c>
      <c r="F216" s="99">
        <v>217397</v>
      </c>
      <c r="G216" s="82">
        <v>217397</v>
      </c>
      <c r="H216" s="82">
        <v>227381</v>
      </c>
      <c r="I216" s="82">
        <v>227381</v>
      </c>
      <c r="J216" s="99">
        <v>227381</v>
      </c>
      <c r="K216" s="82">
        <v>227381</v>
      </c>
    </row>
    <row r="217" spans="1:11" ht="12.75" hidden="1">
      <c r="A217" s="115"/>
      <c r="B217" s="27"/>
      <c r="C217" s="18"/>
      <c r="D217" s="82">
        <v>8500</v>
      </c>
      <c r="E217" s="99">
        <v>6751.52</v>
      </c>
      <c r="F217" s="99">
        <v>5379.2</v>
      </c>
      <c r="G217" s="82">
        <v>9300</v>
      </c>
      <c r="H217" s="82">
        <v>0</v>
      </c>
      <c r="I217" s="82">
        <v>0</v>
      </c>
      <c r="J217" s="99"/>
      <c r="K217" s="82">
        <v>0</v>
      </c>
    </row>
    <row r="218" spans="1:11" ht="12.75" hidden="1">
      <c r="A218" s="115"/>
      <c r="B218" s="27"/>
      <c r="C218" s="18"/>
      <c r="D218" s="82">
        <v>13500</v>
      </c>
      <c r="E218" s="99">
        <v>11054.87</v>
      </c>
      <c r="F218" s="99">
        <v>6094.42</v>
      </c>
      <c r="G218" s="82">
        <v>12000</v>
      </c>
      <c r="H218" s="82">
        <v>0</v>
      </c>
      <c r="I218" s="82">
        <v>0</v>
      </c>
      <c r="J218" s="99"/>
      <c r="K218" s="82">
        <v>0</v>
      </c>
    </row>
    <row r="219" spans="1:11" ht="12.75" hidden="1">
      <c r="A219" s="115"/>
      <c r="B219" s="145">
        <v>6050</v>
      </c>
      <c r="C219" s="18" t="s">
        <v>26</v>
      </c>
      <c r="D219" s="82">
        <v>0</v>
      </c>
      <c r="E219" s="99">
        <v>114862.4</v>
      </c>
      <c r="F219" s="99">
        <v>0</v>
      </c>
      <c r="G219" s="82">
        <v>0</v>
      </c>
      <c r="H219" s="82"/>
      <c r="I219" s="82"/>
      <c r="J219" s="99"/>
      <c r="K219" s="82"/>
    </row>
    <row r="220" spans="1:11" ht="12.75" hidden="1">
      <c r="A220" s="115"/>
      <c r="B220" s="27">
        <v>8550</v>
      </c>
      <c r="C220" s="18" t="s">
        <v>171</v>
      </c>
      <c r="D220" s="82">
        <v>1791</v>
      </c>
      <c r="E220" s="99">
        <v>0</v>
      </c>
      <c r="F220" s="99">
        <v>1790.7</v>
      </c>
      <c r="G220" s="82">
        <v>1791</v>
      </c>
      <c r="H220" s="82">
        <v>0</v>
      </c>
      <c r="I220" s="82">
        <v>0</v>
      </c>
      <c r="J220" s="99"/>
      <c r="K220" s="82">
        <v>0</v>
      </c>
    </row>
    <row r="221" spans="1:11" ht="12.75">
      <c r="A221" s="114">
        <v>80103</v>
      </c>
      <c r="B221" s="26"/>
      <c r="C221" s="19" t="s">
        <v>75</v>
      </c>
      <c r="D221" s="92">
        <f aca="true" t="shared" si="34" ref="D221:J221">SUM(D222:D236)</f>
        <v>436167</v>
      </c>
      <c r="E221" s="100">
        <f t="shared" si="34"/>
        <v>298694.17</v>
      </c>
      <c r="F221" s="100">
        <f t="shared" si="34"/>
        <v>354672.14</v>
      </c>
      <c r="G221" s="92">
        <f t="shared" si="34"/>
        <v>495300</v>
      </c>
      <c r="H221" s="92">
        <f t="shared" si="34"/>
        <v>487557</v>
      </c>
      <c r="I221" s="92">
        <f t="shared" si="34"/>
        <v>590775</v>
      </c>
      <c r="J221" s="100">
        <f t="shared" si="34"/>
        <v>411281.09</v>
      </c>
      <c r="K221" s="92">
        <f>SUM(K222:K236)</f>
        <v>591525</v>
      </c>
    </row>
    <row r="222" spans="1:11" ht="12.75">
      <c r="A222" s="114"/>
      <c r="B222" s="27">
        <v>3020</v>
      </c>
      <c r="C222" s="18" t="s">
        <v>73</v>
      </c>
      <c r="D222" s="82">
        <v>37118</v>
      </c>
      <c r="E222" s="99">
        <v>26289.73</v>
      </c>
      <c r="F222" s="99">
        <v>27504.07</v>
      </c>
      <c r="G222" s="82">
        <v>38233</v>
      </c>
      <c r="H222" s="82">
        <v>41517</v>
      </c>
      <c r="I222" s="82">
        <v>45585</v>
      </c>
      <c r="J222" s="99">
        <v>32081.02</v>
      </c>
      <c r="K222" s="82">
        <v>45585</v>
      </c>
    </row>
    <row r="223" spans="1:11" ht="12.75">
      <c r="A223" s="114"/>
      <c r="B223" s="27">
        <v>4010</v>
      </c>
      <c r="C223" s="18" t="s">
        <v>37</v>
      </c>
      <c r="D223" s="82">
        <v>202060</v>
      </c>
      <c r="E223" s="99">
        <v>165555.66</v>
      </c>
      <c r="F223" s="99">
        <v>171035.46</v>
      </c>
      <c r="G223" s="82">
        <v>248522</v>
      </c>
      <c r="H223" s="82">
        <v>266000</v>
      </c>
      <c r="I223" s="82">
        <v>351437</v>
      </c>
      <c r="J223" s="99">
        <v>244542.69</v>
      </c>
      <c r="K223" s="82">
        <v>351437</v>
      </c>
    </row>
    <row r="224" spans="1:11" ht="12.75">
      <c r="A224" s="114"/>
      <c r="B224" s="27">
        <v>4040</v>
      </c>
      <c r="C224" s="18" t="s">
        <v>38</v>
      </c>
      <c r="D224" s="82">
        <v>17284</v>
      </c>
      <c r="E224" s="99">
        <v>9836.95</v>
      </c>
      <c r="F224" s="99">
        <v>17123.87</v>
      </c>
      <c r="G224" s="82">
        <v>17284</v>
      </c>
      <c r="H224" s="82">
        <v>19000</v>
      </c>
      <c r="I224" s="82">
        <v>21717</v>
      </c>
      <c r="J224" s="99">
        <v>20865</v>
      </c>
      <c r="K224" s="82">
        <v>21717</v>
      </c>
    </row>
    <row r="225" spans="1:11" ht="12.75">
      <c r="A225" s="114"/>
      <c r="B225" s="27">
        <v>4110</v>
      </c>
      <c r="C225" s="18" t="s">
        <v>39</v>
      </c>
      <c r="D225" s="82">
        <v>38875</v>
      </c>
      <c r="E225" s="99">
        <v>29410.83</v>
      </c>
      <c r="F225" s="99">
        <v>29929.58</v>
      </c>
      <c r="G225" s="82">
        <v>45984</v>
      </c>
      <c r="H225" s="82">
        <v>50000</v>
      </c>
      <c r="I225" s="82">
        <v>73569</v>
      </c>
      <c r="J225" s="99">
        <v>39196.95</v>
      </c>
      <c r="K225" s="82">
        <v>73569</v>
      </c>
    </row>
    <row r="226" spans="1:11" ht="12.75">
      <c r="A226" s="114"/>
      <c r="B226" s="27">
        <v>4120</v>
      </c>
      <c r="C226" s="18" t="s">
        <v>40</v>
      </c>
      <c r="D226" s="82">
        <v>7733</v>
      </c>
      <c r="E226" s="99">
        <v>4670.72</v>
      </c>
      <c r="F226" s="99">
        <v>5040.91</v>
      </c>
      <c r="G226" s="82">
        <v>7630</v>
      </c>
      <c r="H226" s="82">
        <v>8300</v>
      </c>
      <c r="I226" s="82">
        <v>10227</v>
      </c>
      <c r="J226" s="99">
        <v>6248.26</v>
      </c>
      <c r="K226" s="82">
        <v>10227</v>
      </c>
    </row>
    <row r="227" spans="1:11" ht="12.75">
      <c r="A227" s="114"/>
      <c r="B227" s="27">
        <v>4210</v>
      </c>
      <c r="C227" s="18" t="s">
        <v>14</v>
      </c>
      <c r="D227" s="82">
        <v>51944</v>
      </c>
      <c r="E227" s="99">
        <v>30291.7</v>
      </c>
      <c r="F227" s="99">
        <v>33869.05</v>
      </c>
      <c r="G227" s="82">
        <v>51944</v>
      </c>
      <c r="H227" s="82">
        <v>48000</v>
      </c>
      <c r="I227" s="82">
        <v>37800</v>
      </c>
      <c r="J227" s="99">
        <v>33815.74</v>
      </c>
      <c r="K227" s="82">
        <v>37800</v>
      </c>
    </row>
    <row r="228" spans="1:11" ht="12.75">
      <c r="A228" s="114"/>
      <c r="B228" s="27">
        <v>4240</v>
      </c>
      <c r="C228" s="18" t="s">
        <v>74</v>
      </c>
      <c r="D228" s="82">
        <v>11000</v>
      </c>
      <c r="E228" s="99">
        <v>6145.74</v>
      </c>
      <c r="F228" s="99">
        <v>9978.69</v>
      </c>
      <c r="G228" s="82">
        <v>11000</v>
      </c>
      <c r="H228" s="82">
        <v>11000</v>
      </c>
      <c r="I228" s="82">
        <v>11000</v>
      </c>
      <c r="J228" s="99">
        <v>3880.35</v>
      </c>
      <c r="K228" s="82">
        <v>11000</v>
      </c>
    </row>
    <row r="229" spans="1:11" ht="12.75">
      <c r="A229" s="114"/>
      <c r="B229" s="27">
        <v>4260</v>
      </c>
      <c r="C229" s="18" t="s">
        <v>43</v>
      </c>
      <c r="D229" s="82">
        <v>5225</v>
      </c>
      <c r="E229" s="99">
        <v>0</v>
      </c>
      <c r="F229" s="99">
        <v>0</v>
      </c>
      <c r="G229" s="82">
        <v>9975</v>
      </c>
      <c r="H229" s="82">
        <v>10000</v>
      </c>
      <c r="I229" s="82">
        <v>10000</v>
      </c>
      <c r="J229" s="99">
        <v>7651.2</v>
      </c>
      <c r="K229" s="82">
        <v>11000</v>
      </c>
    </row>
    <row r="230" spans="1:11" ht="12.75">
      <c r="A230" s="114"/>
      <c r="B230" s="27">
        <v>4270</v>
      </c>
      <c r="C230" s="18" t="s">
        <v>24</v>
      </c>
      <c r="D230" s="82">
        <v>38950</v>
      </c>
      <c r="E230" s="99">
        <v>12238.48</v>
      </c>
      <c r="F230" s="99">
        <v>38917.18</v>
      </c>
      <c r="G230" s="82">
        <v>38950</v>
      </c>
      <c r="H230" s="82">
        <v>7000</v>
      </c>
      <c r="I230" s="82">
        <v>2500</v>
      </c>
      <c r="J230" s="99">
        <v>0</v>
      </c>
      <c r="K230" s="82">
        <v>2500</v>
      </c>
    </row>
    <row r="231" spans="1:11" ht="12.75">
      <c r="A231" s="114"/>
      <c r="B231" s="27">
        <v>4280</v>
      </c>
      <c r="C231" s="18" t="s">
        <v>44</v>
      </c>
      <c r="D231" s="82">
        <v>1100</v>
      </c>
      <c r="E231" s="99">
        <v>0</v>
      </c>
      <c r="F231" s="99">
        <v>0</v>
      </c>
      <c r="G231" s="82">
        <v>1100</v>
      </c>
      <c r="H231" s="82">
        <v>1200</v>
      </c>
      <c r="I231" s="82">
        <v>1200</v>
      </c>
      <c r="J231" s="99">
        <v>224</v>
      </c>
      <c r="K231" s="82">
        <v>950</v>
      </c>
    </row>
    <row r="232" spans="1:11" ht="12.75">
      <c r="A232" s="114"/>
      <c r="B232" s="27">
        <v>4300</v>
      </c>
      <c r="C232" s="18" t="s">
        <v>15</v>
      </c>
      <c r="D232" s="82">
        <v>1600</v>
      </c>
      <c r="E232" s="99">
        <v>413.26</v>
      </c>
      <c r="F232" s="99">
        <v>45</v>
      </c>
      <c r="G232" s="82">
        <v>1600</v>
      </c>
      <c r="H232" s="82">
        <v>1700</v>
      </c>
      <c r="I232" s="82">
        <v>1900</v>
      </c>
      <c r="J232" s="99">
        <v>4.1</v>
      </c>
      <c r="K232" s="82">
        <v>1900</v>
      </c>
    </row>
    <row r="233" spans="1:11" ht="12.75">
      <c r="A233" s="115"/>
      <c r="B233" s="27">
        <v>4410</v>
      </c>
      <c r="C233" s="18" t="s">
        <v>48</v>
      </c>
      <c r="D233" s="82">
        <v>1150</v>
      </c>
      <c r="E233" s="99">
        <v>270.16</v>
      </c>
      <c r="F233" s="99">
        <v>145.93</v>
      </c>
      <c r="G233" s="82">
        <v>1150</v>
      </c>
      <c r="H233" s="82">
        <v>1200</v>
      </c>
      <c r="I233" s="82">
        <v>1200</v>
      </c>
      <c r="J233" s="99">
        <v>131.78</v>
      </c>
      <c r="K233" s="82">
        <v>1200</v>
      </c>
    </row>
    <row r="234" spans="1:11" ht="12.75">
      <c r="A234" s="115"/>
      <c r="B234" s="27">
        <v>4440</v>
      </c>
      <c r="C234" s="18" t="s">
        <v>50</v>
      </c>
      <c r="D234" s="82">
        <v>20728</v>
      </c>
      <c r="E234" s="99">
        <v>13471</v>
      </c>
      <c r="F234" s="99">
        <v>20728</v>
      </c>
      <c r="G234" s="82">
        <v>20728</v>
      </c>
      <c r="H234" s="82">
        <v>22640</v>
      </c>
      <c r="I234" s="82">
        <v>22640</v>
      </c>
      <c r="J234" s="99">
        <v>22640</v>
      </c>
      <c r="K234" s="82">
        <v>22640</v>
      </c>
    </row>
    <row r="235" spans="1:11" ht="12.75" hidden="1">
      <c r="A235" s="115"/>
      <c r="B235" s="27"/>
      <c r="C235" s="18"/>
      <c r="D235" s="82">
        <v>1400</v>
      </c>
      <c r="E235" s="99">
        <v>99.94</v>
      </c>
      <c r="F235" s="99">
        <v>354.4</v>
      </c>
      <c r="G235" s="82">
        <v>1200</v>
      </c>
      <c r="H235" s="82">
        <v>0</v>
      </c>
      <c r="I235" s="82">
        <v>0</v>
      </c>
      <c r="J235" s="99"/>
      <c r="K235" s="82">
        <v>0</v>
      </c>
    </row>
    <row r="236" spans="1:11" ht="12.75" hidden="1">
      <c r="A236" s="115"/>
      <c r="B236" s="145">
        <v>6050</v>
      </c>
      <c r="C236" s="18" t="s">
        <v>26</v>
      </c>
      <c r="D236" s="82">
        <v>0</v>
      </c>
      <c r="E236" s="99">
        <v>0</v>
      </c>
      <c r="F236" s="99">
        <v>0</v>
      </c>
      <c r="G236" s="82">
        <v>0</v>
      </c>
      <c r="H236" s="82"/>
      <c r="I236" s="82"/>
      <c r="J236" s="99"/>
      <c r="K236" s="82"/>
    </row>
    <row r="237" spans="1:11" ht="12.75">
      <c r="A237" s="114">
        <v>80104</v>
      </c>
      <c r="B237" s="26"/>
      <c r="C237" s="19" t="s">
        <v>77</v>
      </c>
      <c r="D237" s="92">
        <f aca="true" t="shared" si="35" ref="D237:J237">SUM(D238:D262)</f>
        <v>1279927</v>
      </c>
      <c r="E237" s="100">
        <f t="shared" si="35"/>
        <v>1102185.9400000002</v>
      </c>
      <c r="F237" s="100">
        <f t="shared" si="35"/>
        <v>1014880.4199999999</v>
      </c>
      <c r="G237" s="92">
        <f t="shared" si="35"/>
        <v>1373714</v>
      </c>
      <c r="H237" s="92">
        <f t="shared" si="35"/>
        <v>1381037</v>
      </c>
      <c r="I237" s="92">
        <f t="shared" si="35"/>
        <v>1324526</v>
      </c>
      <c r="J237" s="100">
        <f t="shared" si="35"/>
        <v>905678.41</v>
      </c>
      <c r="K237" s="92">
        <f>SUM(K238:K262)</f>
        <v>1322526</v>
      </c>
    </row>
    <row r="238" spans="1:11" ht="38.25" customHeight="1">
      <c r="A238" s="114"/>
      <c r="B238" s="151">
        <v>2310</v>
      </c>
      <c r="C238" s="44" t="s">
        <v>20</v>
      </c>
      <c r="D238" s="82">
        <v>20000</v>
      </c>
      <c r="E238" s="99">
        <v>435</v>
      </c>
      <c r="F238" s="99">
        <v>870</v>
      </c>
      <c r="G238" s="82">
        <v>870</v>
      </c>
      <c r="H238" s="93">
        <v>2000</v>
      </c>
      <c r="I238" s="93">
        <v>2000</v>
      </c>
      <c r="J238" s="99">
        <v>0</v>
      </c>
      <c r="K238" s="93">
        <v>0</v>
      </c>
    </row>
    <row r="239" spans="1:11" ht="12.75">
      <c r="A239" s="115"/>
      <c r="B239" s="27">
        <v>3020</v>
      </c>
      <c r="C239" s="18" t="s">
        <v>73</v>
      </c>
      <c r="D239" s="82">
        <v>57371</v>
      </c>
      <c r="E239" s="99">
        <v>56758.31</v>
      </c>
      <c r="F239" s="99">
        <v>46101.54</v>
      </c>
      <c r="G239" s="82">
        <v>65217</v>
      </c>
      <c r="H239" s="82">
        <v>72000</v>
      </c>
      <c r="I239" s="82">
        <v>72046</v>
      </c>
      <c r="J239" s="99">
        <v>52165.95</v>
      </c>
      <c r="K239" s="82">
        <v>72046</v>
      </c>
    </row>
    <row r="240" spans="1:11" ht="12.75">
      <c r="A240" s="115"/>
      <c r="B240" s="27">
        <v>4010</v>
      </c>
      <c r="C240" s="18" t="s">
        <v>37</v>
      </c>
      <c r="D240" s="82">
        <v>660142</v>
      </c>
      <c r="E240" s="99">
        <v>650084.67</v>
      </c>
      <c r="F240" s="99">
        <v>528826.54</v>
      </c>
      <c r="G240" s="82">
        <v>758268</v>
      </c>
      <c r="H240" s="82">
        <v>811400</v>
      </c>
      <c r="I240" s="82">
        <v>829107</v>
      </c>
      <c r="J240" s="99">
        <v>565967.19</v>
      </c>
      <c r="K240" s="82">
        <v>829107</v>
      </c>
    </row>
    <row r="241" spans="1:11" ht="12.75">
      <c r="A241" s="115"/>
      <c r="B241" s="27">
        <v>4040</v>
      </c>
      <c r="C241" s="18" t="s">
        <v>38</v>
      </c>
      <c r="D241" s="82">
        <v>55670</v>
      </c>
      <c r="E241" s="99">
        <v>48417.89</v>
      </c>
      <c r="F241" s="99">
        <v>55014.22</v>
      </c>
      <c r="G241" s="82">
        <v>55014</v>
      </c>
      <c r="H241" s="82">
        <v>62603</v>
      </c>
      <c r="I241" s="82">
        <v>59903</v>
      </c>
      <c r="J241" s="99">
        <v>59825.99</v>
      </c>
      <c r="K241" s="82">
        <v>59903</v>
      </c>
    </row>
    <row r="242" spans="1:11" ht="12.75">
      <c r="A242" s="115"/>
      <c r="B242" s="27">
        <v>4110</v>
      </c>
      <c r="C242" s="18" t="s">
        <v>39</v>
      </c>
      <c r="D242" s="82">
        <v>130507</v>
      </c>
      <c r="E242" s="99">
        <v>104941.36</v>
      </c>
      <c r="F242" s="99">
        <v>93562.99</v>
      </c>
      <c r="G242" s="82">
        <v>140085</v>
      </c>
      <c r="H242" s="82">
        <v>147280</v>
      </c>
      <c r="I242" s="82">
        <v>167090</v>
      </c>
      <c r="J242" s="99">
        <v>94021.24</v>
      </c>
      <c r="K242" s="82">
        <v>167090</v>
      </c>
    </row>
    <row r="243" spans="1:11" ht="12.75">
      <c r="A243" s="115"/>
      <c r="B243" s="27">
        <v>4120</v>
      </c>
      <c r="C243" s="18" t="s">
        <v>40</v>
      </c>
      <c r="D243" s="82">
        <v>20635</v>
      </c>
      <c r="E243" s="99">
        <v>16870.53</v>
      </c>
      <c r="F243" s="99">
        <v>13312.96</v>
      </c>
      <c r="G243" s="82">
        <v>20208</v>
      </c>
      <c r="H243" s="82">
        <v>21700</v>
      </c>
      <c r="I243" s="82">
        <v>23326</v>
      </c>
      <c r="J243" s="99">
        <v>13385.93</v>
      </c>
      <c r="K243" s="82">
        <v>23326</v>
      </c>
    </row>
    <row r="244" spans="1:11" ht="12.75">
      <c r="A244" s="115"/>
      <c r="B244" s="27">
        <v>4170</v>
      </c>
      <c r="C244" s="18" t="s">
        <v>42</v>
      </c>
      <c r="D244" s="82">
        <v>2000</v>
      </c>
      <c r="E244" s="99">
        <v>0</v>
      </c>
      <c r="F244" s="99">
        <v>0</v>
      </c>
      <c r="G244" s="82">
        <v>2000</v>
      </c>
      <c r="H244" s="82">
        <v>2000</v>
      </c>
      <c r="I244" s="82">
        <v>3000</v>
      </c>
      <c r="J244" s="99">
        <v>2200</v>
      </c>
      <c r="K244" s="82">
        <v>3000</v>
      </c>
    </row>
    <row r="245" spans="1:11" ht="12.75">
      <c r="A245" s="115"/>
      <c r="B245" s="27">
        <v>4210</v>
      </c>
      <c r="C245" s="18" t="s">
        <v>14</v>
      </c>
      <c r="D245" s="82">
        <v>72356</v>
      </c>
      <c r="E245" s="99">
        <v>54389.75</v>
      </c>
      <c r="F245" s="99">
        <v>54478.01</v>
      </c>
      <c r="G245" s="82">
        <v>72356</v>
      </c>
      <c r="H245" s="82">
        <v>67400</v>
      </c>
      <c r="I245" s="82">
        <v>42400</v>
      </c>
      <c r="J245" s="99">
        <v>18062.68</v>
      </c>
      <c r="K245" s="82">
        <v>42400</v>
      </c>
    </row>
    <row r="246" spans="1:11" ht="12.75">
      <c r="A246" s="115"/>
      <c r="B246" s="27">
        <v>4220</v>
      </c>
      <c r="C246" s="18" t="s">
        <v>78</v>
      </c>
      <c r="D246" s="82">
        <v>79500</v>
      </c>
      <c r="E246" s="99">
        <v>76679.64</v>
      </c>
      <c r="F246" s="99">
        <v>69805.11</v>
      </c>
      <c r="G246" s="82">
        <v>79500</v>
      </c>
      <c r="H246" s="82">
        <v>82000</v>
      </c>
      <c r="I246" s="82">
        <v>16000</v>
      </c>
      <c r="J246" s="99">
        <v>15535.69</v>
      </c>
      <c r="K246" s="82">
        <v>16000</v>
      </c>
    </row>
    <row r="247" spans="1:11" ht="12.75">
      <c r="A247" s="115"/>
      <c r="B247" s="27">
        <v>4240</v>
      </c>
      <c r="C247" s="18" t="s">
        <v>76</v>
      </c>
      <c r="D247" s="82">
        <v>7000</v>
      </c>
      <c r="E247" s="99">
        <v>6253.48</v>
      </c>
      <c r="F247" s="99">
        <v>3448.14</v>
      </c>
      <c r="G247" s="82">
        <v>7000</v>
      </c>
      <c r="H247" s="82">
        <v>7000</v>
      </c>
      <c r="I247" s="82">
        <v>7000</v>
      </c>
      <c r="J247" s="99">
        <v>5850.01</v>
      </c>
      <c r="K247" s="82">
        <v>7000</v>
      </c>
    </row>
    <row r="248" spans="1:11" ht="12.75">
      <c r="A248" s="115"/>
      <c r="B248" s="27">
        <v>4260</v>
      </c>
      <c r="C248" s="18" t="s">
        <v>43</v>
      </c>
      <c r="D248" s="82">
        <v>24000</v>
      </c>
      <c r="E248" s="99">
        <v>21678.74</v>
      </c>
      <c r="F248" s="99">
        <v>15979.7</v>
      </c>
      <c r="G248" s="82">
        <v>24000</v>
      </c>
      <c r="H248" s="82">
        <v>24000</v>
      </c>
      <c r="I248" s="82">
        <v>24000</v>
      </c>
      <c r="J248" s="99">
        <v>15928.49</v>
      </c>
      <c r="K248" s="82">
        <v>24000</v>
      </c>
    </row>
    <row r="249" spans="1:11" ht="12.75">
      <c r="A249" s="115"/>
      <c r="B249" s="27">
        <v>4270</v>
      </c>
      <c r="C249" s="18" t="s">
        <v>24</v>
      </c>
      <c r="D249" s="82">
        <v>10000</v>
      </c>
      <c r="E249" s="99">
        <v>6981.87</v>
      </c>
      <c r="F249" s="99">
        <v>7416.83</v>
      </c>
      <c r="G249" s="82">
        <v>10000</v>
      </c>
      <c r="H249" s="82">
        <v>10300</v>
      </c>
      <c r="I249" s="82">
        <v>5300</v>
      </c>
      <c r="J249" s="99">
        <v>1407.54</v>
      </c>
      <c r="K249" s="82">
        <v>5300</v>
      </c>
    </row>
    <row r="250" spans="1:11" ht="12.75">
      <c r="A250" s="115"/>
      <c r="B250" s="27">
        <v>4280</v>
      </c>
      <c r="C250" s="18" t="s">
        <v>44</v>
      </c>
      <c r="D250" s="82">
        <v>1300</v>
      </c>
      <c r="E250" s="99">
        <v>931</v>
      </c>
      <c r="F250" s="99">
        <v>831</v>
      </c>
      <c r="G250" s="82">
        <v>1300</v>
      </c>
      <c r="H250" s="82">
        <v>1350</v>
      </c>
      <c r="I250" s="82">
        <v>1350</v>
      </c>
      <c r="J250" s="99">
        <v>595</v>
      </c>
      <c r="K250" s="82">
        <v>1350</v>
      </c>
    </row>
    <row r="251" spans="1:11" ht="12.75">
      <c r="A251" s="115"/>
      <c r="B251" s="27">
        <v>4300</v>
      </c>
      <c r="C251" s="18" t="s">
        <v>15</v>
      </c>
      <c r="D251" s="82">
        <v>14000</v>
      </c>
      <c r="E251" s="99">
        <v>9167.07</v>
      </c>
      <c r="F251" s="99">
        <v>9780.5</v>
      </c>
      <c r="G251" s="82">
        <v>14000</v>
      </c>
      <c r="H251" s="82">
        <v>14500</v>
      </c>
      <c r="I251" s="82">
        <v>16500</v>
      </c>
      <c r="J251" s="99">
        <v>11290.53</v>
      </c>
      <c r="K251" s="82">
        <v>16500</v>
      </c>
    </row>
    <row r="252" spans="1:11" ht="12.75">
      <c r="A252" s="115"/>
      <c r="B252" s="27">
        <v>4350</v>
      </c>
      <c r="C252" s="18" t="s">
        <v>55</v>
      </c>
      <c r="D252" s="82">
        <v>1500</v>
      </c>
      <c r="E252" s="99">
        <v>1028.73</v>
      </c>
      <c r="F252" s="99">
        <v>800.1</v>
      </c>
      <c r="G252" s="82">
        <v>1100</v>
      </c>
      <c r="H252" s="82">
        <v>1200</v>
      </c>
      <c r="I252" s="82">
        <v>1200</v>
      </c>
      <c r="J252" s="99">
        <v>862.17</v>
      </c>
      <c r="K252" s="82">
        <v>1200</v>
      </c>
    </row>
    <row r="253" spans="1:11" ht="25.5">
      <c r="A253" s="115"/>
      <c r="B253" s="27">
        <v>4360</v>
      </c>
      <c r="C253" s="18" t="s">
        <v>46</v>
      </c>
      <c r="D253" s="82">
        <v>1000</v>
      </c>
      <c r="E253" s="99">
        <v>845.23</v>
      </c>
      <c r="F253" s="99">
        <v>669.78</v>
      </c>
      <c r="G253" s="82">
        <v>950</v>
      </c>
      <c r="H253" s="82">
        <v>1000</v>
      </c>
      <c r="I253" s="82">
        <v>1000</v>
      </c>
      <c r="J253" s="99">
        <v>502.11</v>
      </c>
      <c r="K253" s="82">
        <v>1000</v>
      </c>
    </row>
    <row r="254" spans="1:11" ht="25.5">
      <c r="A254" s="115"/>
      <c r="B254" s="27">
        <v>4370</v>
      </c>
      <c r="C254" s="18" t="s">
        <v>47</v>
      </c>
      <c r="D254" s="82">
        <v>3200</v>
      </c>
      <c r="E254" s="99">
        <v>3033.05</v>
      </c>
      <c r="F254" s="99">
        <v>1930.41</v>
      </c>
      <c r="G254" s="82">
        <v>2600</v>
      </c>
      <c r="H254" s="82">
        <v>2700</v>
      </c>
      <c r="I254" s="82">
        <v>2700</v>
      </c>
      <c r="J254" s="99">
        <v>1884.11</v>
      </c>
      <c r="K254" s="82">
        <v>2700</v>
      </c>
    </row>
    <row r="255" spans="1:11" ht="14.25" customHeight="1">
      <c r="A255" s="115"/>
      <c r="B255" s="27">
        <v>4390</v>
      </c>
      <c r="C255" s="18" t="s">
        <v>79</v>
      </c>
      <c r="D255" s="82">
        <v>2000</v>
      </c>
      <c r="E255" s="99">
        <v>464.26</v>
      </c>
      <c r="F255" s="99">
        <v>0</v>
      </c>
      <c r="G255" s="82">
        <v>2000</v>
      </c>
      <c r="H255" s="82">
        <v>2000</v>
      </c>
      <c r="I255" s="82">
        <v>2000</v>
      </c>
      <c r="J255" s="99">
        <v>0</v>
      </c>
      <c r="K255" s="82">
        <v>2000</v>
      </c>
    </row>
    <row r="256" spans="1:11" ht="12.75">
      <c r="A256" s="115"/>
      <c r="B256" s="27">
        <v>4410</v>
      </c>
      <c r="C256" s="18" t="s">
        <v>48</v>
      </c>
      <c r="D256" s="82">
        <v>1800</v>
      </c>
      <c r="E256" s="99">
        <v>1124.62</v>
      </c>
      <c r="F256" s="99">
        <v>1293.76</v>
      </c>
      <c r="G256" s="82">
        <v>1800</v>
      </c>
      <c r="H256" s="82">
        <v>1800</v>
      </c>
      <c r="I256" s="82">
        <v>1800</v>
      </c>
      <c r="J256" s="99">
        <v>1022.02</v>
      </c>
      <c r="K256" s="82">
        <v>1800</v>
      </c>
    </row>
    <row r="257" spans="1:11" ht="12.75">
      <c r="A257" s="115"/>
      <c r="B257" s="27">
        <v>4430</v>
      </c>
      <c r="C257" s="18" t="s">
        <v>16</v>
      </c>
      <c r="D257" s="82">
        <v>2500</v>
      </c>
      <c r="E257" s="99">
        <v>1300</v>
      </c>
      <c r="F257" s="99">
        <v>955.49</v>
      </c>
      <c r="G257" s="82">
        <v>2000</v>
      </c>
      <c r="H257" s="82">
        <v>2000</v>
      </c>
      <c r="I257" s="82">
        <v>2000</v>
      </c>
      <c r="J257" s="99">
        <v>367.76</v>
      </c>
      <c r="K257" s="82">
        <v>2000</v>
      </c>
    </row>
    <row r="258" spans="1:11" ht="12.75">
      <c r="A258" s="115"/>
      <c r="B258" s="27">
        <v>4440</v>
      </c>
      <c r="C258" s="18" t="s">
        <v>50</v>
      </c>
      <c r="D258" s="82">
        <v>44086</v>
      </c>
      <c r="E258" s="99">
        <v>37519</v>
      </c>
      <c r="F258" s="99">
        <v>44086</v>
      </c>
      <c r="G258" s="82">
        <v>44086</v>
      </c>
      <c r="H258" s="82">
        <v>44804</v>
      </c>
      <c r="I258" s="82">
        <v>44804</v>
      </c>
      <c r="J258" s="99">
        <v>44804</v>
      </c>
      <c r="K258" s="82">
        <v>44804</v>
      </c>
    </row>
    <row r="259" spans="1:11" ht="12.75" hidden="1">
      <c r="A259" s="115"/>
      <c r="B259" s="27"/>
      <c r="C259" s="18"/>
      <c r="D259" s="82">
        <v>1000</v>
      </c>
      <c r="E259" s="99">
        <v>904.8</v>
      </c>
      <c r="F259" s="99">
        <v>679.89</v>
      </c>
      <c r="G259" s="82">
        <v>1000</v>
      </c>
      <c r="H259" s="82">
        <v>0</v>
      </c>
      <c r="I259" s="82"/>
      <c r="J259" s="99"/>
      <c r="K259" s="82"/>
    </row>
    <row r="260" spans="1:11" ht="12.75" hidden="1">
      <c r="A260" s="115"/>
      <c r="B260" s="27"/>
      <c r="C260" s="18"/>
      <c r="D260" s="82">
        <v>3700</v>
      </c>
      <c r="E260" s="99">
        <v>2376.94</v>
      </c>
      <c r="F260" s="99">
        <v>377.45</v>
      </c>
      <c r="G260" s="82">
        <v>3700</v>
      </c>
      <c r="H260" s="82">
        <v>0</v>
      </c>
      <c r="I260" s="82"/>
      <c r="J260" s="99"/>
      <c r="K260" s="82"/>
    </row>
    <row r="261" spans="1:11" ht="12.75" hidden="1">
      <c r="A261" s="115"/>
      <c r="B261" s="145">
        <v>6050</v>
      </c>
      <c r="C261" s="18" t="s">
        <v>26</v>
      </c>
      <c r="D261" s="82">
        <v>64660</v>
      </c>
      <c r="E261" s="99">
        <v>0</v>
      </c>
      <c r="F261" s="99">
        <v>64660</v>
      </c>
      <c r="G261" s="82">
        <v>64660</v>
      </c>
      <c r="H261" s="82">
        <v>0</v>
      </c>
      <c r="I261" s="82"/>
      <c r="J261" s="99"/>
      <c r="K261" s="82"/>
    </row>
    <row r="262" spans="1:11" ht="12.75" hidden="1">
      <c r="A262" s="115"/>
      <c r="B262" s="145">
        <v>6060</v>
      </c>
      <c r="C262" s="18" t="s">
        <v>61</v>
      </c>
      <c r="D262" s="82">
        <v>0</v>
      </c>
      <c r="E262" s="99">
        <v>0</v>
      </c>
      <c r="F262" s="99">
        <f>E262+D262</f>
        <v>0</v>
      </c>
      <c r="G262" s="82">
        <v>0</v>
      </c>
      <c r="H262" s="82">
        <v>0</v>
      </c>
      <c r="I262" s="82">
        <v>0</v>
      </c>
      <c r="J262" s="99">
        <f>I262+H262</f>
        <v>0</v>
      </c>
      <c r="K262" s="82">
        <v>0</v>
      </c>
    </row>
    <row r="263" spans="1:11" ht="12.75">
      <c r="A263" s="114">
        <v>80110</v>
      </c>
      <c r="B263" s="26"/>
      <c r="C263" s="19" t="s">
        <v>80</v>
      </c>
      <c r="D263" s="92">
        <f aca="true" t="shared" si="36" ref="D263:J263">SUM(D264:D285)</f>
        <v>2987117</v>
      </c>
      <c r="E263" s="100">
        <f t="shared" si="36"/>
        <v>2863477.990000001</v>
      </c>
      <c r="F263" s="100">
        <f t="shared" si="36"/>
        <v>2381152.2800000003</v>
      </c>
      <c r="G263" s="92">
        <f t="shared" si="36"/>
        <v>3140760</v>
      </c>
      <c r="H263" s="92">
        <f t="shared" si="36"/>
        <v>3331291</v>
      </c>
      <c r="I263" s="92">
        <f t="shared" si="36"/>
        <v>3369898</v>
      </c>
      <c r="J263" s="100">
        <f t="shared" si="36"/>
        <v>2391042.8000000003</v>
      </c>
      <c r="K263" s="92">
        <f>SUM(K264:K285)</f>
        <v>3368798</v>
      </c>
    </row>
    <row r="264" spans="1:11" ht="12.75">
      <c r="A264" s="115"/>
      <c r="B264" s="27">
        <v>3020</v>
      </c>
      <c r="C264" s="18" t="s">
        <v>73</v>
      </c>
      <c r="D264" s="82">
        <v>211401</v>
      </c>
      <c r="E264" s="99">
        <v>219287.46</v>
      </c>
      <c r="F264" s="99">
        <v>173840.62</v>
      </c>
      <c r="G264" s="82">
        <v>243720</v>
      </c>
      <c r="H264" s="82">
        <v>255120</v>
      </c>
      <c r="I264" s="82">
        <v>227863</v>
      </c>
      <c r="J264" s="99">
        <v>175649.53</v>
      </c>
      <c r="K264" s="82">
        <v>227863</v>
      </c>
    </row>
    <row r="265" spans="1:11" ht="12.75">
      <c r="A265" s="115"/>
      <c r="B265" s="27">
        <v>4010</v>
      </c>
      <c r="C265" s="18" t="s">
        <v>37</v>
      </c>
      <c r="D265" s="82">
        <v>1824406</v>
      </c>
      <c r="E265" s="99">
        <v>1773243.46</v>
      </c>
      <c r="F265" s="99">
        <v>1454130.99</v>
      </c>
      <c r="G265" s="82">
        <v>2023522</v>
      </c>
      <c r="H265" s="82">
        <v>2165200</v>
      </c>
      <c r="I265" s="82">
        <v>2076711</v>
      </c>
      <c r="J265" s="99">
        <v>1462773.9</v>
      </c>
      <c r="K265" s="82">
        <v>2076711</v>
      </c>
    </row>
    <row r="266" spans="1:11" ht="12.75">
      <c r="A266" s="115"/>
      <c r="B266" s="27">
        <v>4040</v>
      </c>
      <c r="C266" s="18" t="s">
        <v>38</v>
      </c>
      <c r="D266" s="82">
        <v>149721</v>
      </c>
      <c r="E266" s="99">
        <v>134277.45</v>
      </c>
      <c r="F266" s="99">
        <v>146805.84</v>
      </c>
      <c r="G266" s="82">
        <v>146806</v>
      </c>
      <c r="H266" s="82">
        <v>171000</v>
      </c>
      <c r="I266" s="82">
        <v>164353</v>
      </c>
      <c r="J266" s="99">
        <v>163567.6</v>
      </c>
      <c r="K266" s="82">
        <v>164353</v>
      </c>
    </row>
    <row r="267" spans="1:11" ht="12.75">
      <c r="A267" s="115"/>
      <c r="B267" s="27">
        <v>4110</v>
      </c>
      <c r="C267" s="18" t="s">
        <v>39</v>
      </c>
      <c r="D267" s="82">
        <v>348721</v>
      </c>
      <c r="E267" s="99">
        <v>297251.74</v>
      </c>
      <c r="F267" s="99">
        <v>256910.85</v>
      </c>
      <c r="G267" s="82">
        <v>270249</v>
      </c>
      <c r="H267" s="82">
        <v>288000</v>
      </c>
      <c r="I267" s="82">
        <v>433857</v>
      </c>
      <c r="J267" s="99">
        <v>248079.49</v>
      </c>
      <c r="K267" s="82">
        <v>433857</v>
      </c>
    </row>
    <row r="268" spans="1:11" ht="12.75">
      <c r="A268" s="115"/>
      <c r="B268" s="27">
        <v>4120</v>
      </c>
      <c r="C268" s="18" t="s">
        <v>40</v>
      </c>
      <c r="D268" s="82">
        <v>55717</v>
      </c>
      <c r="E268" s="99">
        <v>47419.56</v>
      </c>
      <c r="F268" s="99">
        <v>42003.34</v>
      </c>
      <c r="G268" s="82">
        <v>59412</v>
      </c>
      <c r="H268" s="82">
        <v>64115</v>
      </c>
      <c r="I268" s="82">
        <v>60258</v>
      </c>
      <c r="J268" s="99">
        <v>37941.88</v>
      </c>
      <c r="K268" s="82">
        <v>60258</v>
      </c>
    </row>
    <row r="269" spans="1:11" ht="25.5">
      <c r="A269" s="115"/>
      <c r="B269" s="27">
        <v>4140</v>
      </c>
      <c r="C269" s="18" t="s">
        <v>41</v>
      </c>
      <c r="D269" s="82"/>
      <c r="E269" s="99"/>
      <c r="F269" s="99"/>
      <c r="G269" s="82"/>
      <c r="H269" s="82"/>
      <c r="I269" s="82">
        <v>0</v>
      </c>
      <c r="J269" s="99">
        <v>0</v>
      </c>
      <c r="K269" s="82">
        <v>1500</v>
      </c>
    </row>
    <row r="270" spans="1:11" ht="12.75">
      <c r="A270" s="115"/>
      <c r="B270" s="27">
        <v>4170</v>
      </c>
      <c r="C270" s="18" t="s">
        <v>42</v>
      </c>
      <c r="D270" s="82">
        <v>1500</v>
      </c>
      <c r="E270" s="99">
        <v>0</v>
      </c>
      <c r="F270" s="99">
        <v>860</v>
      </c>
      <c r="G270" s="82">
        <v>1500</v>
      </c>
      <c r="H270" s="82">
        <v>1500</v>
      </c>
      <c r="I270" s="82">
        <v>500</v>
      </c>
      <c r="J270" s="99">
        <v>0</v>
      </c>
      <c r="K270" s="82">
        <v>500</v>
      </c>
    </row>
    <row r="271" spans="1:11" ht="12.75">
      <c r="A271" s="115"/>
      <c r="B271" s="27">
        <v>4210</v>
      </c>
      <c r="C271" s="18" t="s">
        <v>14</v>
      </c>
      <c r="D271" s="82">
        <v>164000</v>
      </c>
      <c r="E271" s="99">
        <v>167025.67</v>
      </c>
      <c r="F271" s="99">
        <v>112907.83</v>
      </c>
      <c r="G271" s="82">
        <v>164000</v>
      </c>
      <c r="H271" s="82">
        <v>163000</v>
      </c>
      <c r="I271" s="82">
        <v>183000</v>
      </c>
      <c r="J271" s="99">
        <v>119147.11</v>
      </c>
      <c r="K271" s="82">
        <v>183000</v>
      </c>
    </row>
    <row r="272" spans="1:11" ht="12.75">
      <c r="A272" s="115"/>
      <c r="B272" s="27">
        <v>4240</v>
      </c>
      <c r="C272" s="18" t="s">
        <v>76</v>
      </c>
      <c r="D272" s="82">
        <v>10000</v>
      </c>
      <c r="E272" s="99">
        <v>10239.91</v>
      </c>
      <c r="F272" s="99">
        <v>9579.63</v>
      </c>
      <c r="G272" s="82">
        <v>10000</v>
      </c>
      <c r="H272" s="82">
        <v>10000</v>
      </c>
      <c r="I272" s="82">
        <v>10000</v>
      </c>
      <c r="J272" s="99">
        <v>2520.43</v>
      </c>
      <c r="K272" s="82">
        <v>10000</v>
      </c>
    </row>
    <row r="273" spans="1:11" ht="12.75">
      <c r="A273" s="115"/>
      <c r="B273" s="27">
        <v>4260</v>
      </c>
      <c r="C273" s="18" t="s">
        <v>43</v>
      </c>
      <c r="D273" s="82">
        <v>40625</v>
      </c>
      <c r="E273" s="99">
        <v>36892.83</v>
      </c>
      <c r="F273" s="99">
        <v>27175.72</v>
      </c>
      <c r="G273" s="82">
        <v>40625</v>
      </c>
      <c r="H273" s="82">
        <v>40625</v>
      </c>
      <c r="I273" s="82">
        <v>40625</v>
      </c>
      <c r="J273" s="99">
        <v>24559.93</v>
      </c>
      <c r="K273" s="82">
        <v>35625</v>
      </c>
    </row>
    <row r="274" spans="1:11" ht="12.75">
      <c r="A274" s="115"/>
      <c r="B274" s="27">
        <v>4270</v>
      </c>
      <c r="C274" s="18" t="s">
        <v>24</v>
      </c>
      <c r="D274" s="82">
        <v>12000</v>
      </c>
      <c r="E274" s="99">
        <v>12523.7</v>
      </c>
      <c r="F274" s="99">
        <v>494.1</v>
      </c>
      <c r="G274" s="82">
        <v>12000</v>
      </c>
      <c r="H274" s="82">
        <v>11000</v>
      </c>
      <c r="I274" s="82">
        <v>11000</v>
      </c>
      <c r="J274" s="99">
        <v>3399.45</v>
      </c>
      <c r="K274" s="82">
        <v>11000</v>
      </c>
    </row>
    <row r="275" spans="1:11" ht="12.75">
      <c r="A275" s="115"/>
      <c r="B275" s="27">
        <v>4280</v>
      </c>
      <c r="C275" s="18" t="s">
        <v>44</v>
      </c>
      <c r="D275" s="82">
        <v>1500</v>
      </c>
      <c r="E275" s="99">
        <v>100</v>
      </c>
      <c r="F275" s="99">
        <v>1498</v>
      </c>
      <c r="G275" s="82">
        <v>1500</v>
      </c>
      <c r="H275" s="82">
        <v>1500</v>
      </c>
      <c r="I275" s="82">
        <v>1500</v>
      </c>
      <c r="J275" s="99">
        <v>360</v>
      </c>
      <c r="K275" s="82">
        <v>500</v>
      </c>
    </row>
    <row r="276" spans="1:11" ht="12.75">
      <c r="A276" s="115"/>
      <c r="B276" s="27">
        <v>4300</v>
      </c>
      <c r="C276" s="18" t="s">
        <v>15</v>
      </c>
      <c r="D276" s="82">
        <v>19000</v>
      </c>
      <c r="E276" s="99">
        <v>26731.19</v>
      </c>
      <c r="F276" s="99">
        <v>16707.2</v>
      </c>
      <c r="G276" s="82">
        <v>19000</v>
      </c>
      <c r="H276" s="82">
        <v>19500</v>
      </c>
      <c r="I276" s="82">
        <v>19500</v>
      </c>
      <c r="J276" s="99">
        <v>18902.89</v>
      </c>
      <c r="K276" s="82">
        <v>24500</v>
      </c>
    </row>
    <row r="277" spans="1:11" ht="12.75">
      <c r="A277" s="115"/>
      <c r="B277" s="27">
        <v>4350</v>
      </c>
      <c r="C277" s="18" t="s">
        <v>55</v>
      </c>
      <c r="D277" s="82">
        <v>1500</v>
      </c>
      <c r="E277" s="99">
        <v>672</v>
      </c>
      <c r="F277" s="99">
        <v>517.4</v>
      </c>
      <c r="G277" s="82">
        <v>1500</v>
      </c>
      <c r="H277" s="82">
        <v>1500</v>
      </c>
      <c r="I277" s="82">
        <v>1500</v>
      </c>
      <c r="J277" s="99">
        <v>582.57</v>
      </c>
      <c r="K277" s="82">
        <v>1000</v>
      </c>
    </row>
    <row r="278" spans="1:11" ht="25.5">
      <c r="A278" s="115"/>
      <c r="B278" s="27">
        <v>4360</v>
      </c>
      <c r="C278" s="18" t="s">
        <v>46</v>
      </c>
      <c r="D278" s="82">
        <v>1500</v>
      </c>
      <c r="E278" s="99">
        <v>789.22</v>
      </c>
      <c r="F278" s="99">
        <v>497.76</v>
      </c>
      <c r="G278" s="82">
        <v>1500</v>
      </c>
      <c r="H278" s="82">
        <v>1500</v>
      </c>
      <c r="I278" s="82">
        <v>1500</v>
      </c>
      <c r="J278" s="99">
        <v>658.18</v>
      </c>
      <c r="K278" s="82">
        <v>1000</v>
      </c>
    </row>
    <row r="279" spans="1:11" ht="25.5">
      <c r="A279" s="115"/>
      <c r="B279" s="27">
        <v>4370</v>
      </c>
      <c r="C279" s="18" t="s">
        <v>47</v>
      </c>
      <c r="D279" s="82">
        <v>5500</v>
      </c>
      <c r="E279" s="99">
        <v>5426.99</v>
      </c>
      <c r="F279" s="99">
        <v>4052.36</v>
      </c>
      <c r="G279" s="82">
        <v>5400</v>
      </c>
      <c r="H279" s="82">
        <v>5550</v>
      </c>
      <c r="I279" s="82">
        <v>5550</v>
      </c>
      <c r="J279" s="99">
        <v>3303.31</v>
      </c>
      <c r="K279" s="82">
        <v>4950</v>
      </c>
    </row>
    <row r="280" spans="1:11" ht="12.75">
      <c r="A280" s="115"/>
      <c r="B280" s="27">
        <v>4410</v>
      </c>
      <c r="C280" s="18" t="s">
        <v>48</v>
      </c>
      <c r="D280" s="82">
        <v>5500</v>
      </c>
      <c r="E280" s="99">
        <v>4496.25</v>
      </c>
      <c r="F280" s="99">
        <v>3630.19</v>
      </c>
      <c r="G280" s="82">
        <v>5500</v>
      </c>
      <c r="H280" s="82">
        <v>5650</v>
      </c>
      <c r="I280" s="82">
        <v>5650</v>
      </c>
      <c r="J280" s="99">
        <v>5238.53</v>
      </c>
      <c r="K280" s="82">
        <v>5650</v>
      </c>
    </row>
    <row r="281" spans="1:11" ht="12.75">
      <c r="A281" s="115"/>
      <c r="B281" s="27">
        <v>4430</v>
      </c>
      <c r="C281" s="18" t="s">
        <v>16</v>
      </c>
      <c r="D281" s="82">
        <v>4000</v>
      </c>
      <c r="E281" s="99">
        <v>4286</v>
      </c>
      <c r="F281" s="99">
        <v>1917.64</v>
      </c>
      <c r="G281" s="82">
        <v>4000</v>
      </c>
      <c r="H281" s="82">
        <v>4150</v>
      </c>
      <c r="I281" s="82">
        <v>4150</v>
      </c>
      <c r="J281" s="99">
        <v>1977</v>
      </c>
      <c r="K281" s="82">
        <v>4150</v>
      </c>
    </row>
    <row r="282" spans="1:11" ht="12.75">
      <c r="A282" s="115"/>
      <c r="B282" s="27">
        <v>4440</v>
      </c>
      <c r="C282" s="18" t="s">
        <v>50</v>
      </c>
      <c r="D282" s="82">
        <v>120026</v>
      </c>
      <c r="E282" s="99">
        <v>112198</v>
      </c>
      <c r="F282" s="99">
        <v>120026</v>
      </c>
      <c r="G282" s="82">
        <v>120026</v>
      </c>
      <c r="H282" s="82">
        <v>122381</v>
      </c>
      <c r="I282" s="82">
        <v>122381</v>
      </c>
      <c r="J282" s="99">
        <v>122381</v>
      </c>
      <c r="K282" s="82">
        <v>122381</v>
      </c>
    </row>
    <row r="283" spans="1:11" ht="12.75" hidden="1">
      <c r="A283" s="115"/>
      <c r="B283" s="27"/>
      <c r="C283" s="18"/>
      <c r="D283" s="82">
        <v>1500</v>
      </c>
      <c r="E283" s="99">
        <v>2341.57</v>
      </c>
      <c r="F283" s="99">
        <v>902.52</v>
      </c>
      <c r="G283" s="82">
        <v>1500</v>
      </c>
      <c r="H283" s="82">
        <v>0</v>
      </c>
      <c r="I283" s="82">
        <v>0</v>
      </c>
      <c r="J283" s="99"/>
      <c r="K283" s="82">
        <v>0</v>
      </c>
    </row>
    <row r="284" spans="1:11" ht="12.75" hidden="1">
      <c r="A284" s="115"/>
      <c r="B284" s="27"/>
      <c r="C284" s="18"/>
      <c r="D284" s="82">
        <v>9000</v>
      </c>
      <c r="E284" s="99">
        <v>8274.99</v>
      </c>
      <c r="F284" s="99">
        <v>6694.29</v>
      </c>
      <c r="G284" s="82">
        <v>9000</v>
      </c>
      <c r="H284" s="82">
        <v>0</v>
      </c>
      <c r="I284" s="82">
        <v>0</v>
      </c>
      <c r="J284" s="99"/>
      <c r="K284" s="82">
        <v>0</v>
      </c>
    </row>
    <row r="285" spans="1:11" ht="12.75" hidden="1">
      <c r="A285" s="115"/>
      <c r="B285" s="145">
        <v>6060</v>
      </c>
      <c r="C285" s="18" t="s">
        <v>61</v>
      </c>
      <c r="D285" s="82">
        <v>0</v>
      </c>
      <c r="E285" s="99">
        <v>0</v>
      </c>
      <c r="F285" s="99">
        <f>E285+D285</f>
        <v>0</v>
      </c>
      <c r="G285" s="82">
        <v>0</v>
      </c>
      <c r="H285" s="82"/>
      <c r="I285" s="82"/>
      <c r="J285" s="99">
        <f>I285+H285</f>
        <v>0</v>
      </c>
      <c r="K285" s="82"/>
    </row>
    <row r="286" spans="1:11" ht="12.75">
      <c r="A286" s="114">
        <v>80113</v>
      </c>
      <c r="B286" s="26"/>
      <c r="C286" s="19" t="s">
        <v>81</v>
      </c>
      <c r="D286" s="92">
        <f aca="true" t="shared" si="37" ref="D286:J286">SUM(D287:D300)</f>
        <v>629074</v>
      </c>
      <c r="E286" s="100">
        <f t="shared" si="37"/>
        <v>496906.56</v>
      </c>
      <c r="F286" s="100">
        <f t="shared" si="37"/>
        <v>338579.3</v>
      </c>
      <c r="G286" s="92">
        <f t="shared" si="37"/>
        <v>570583.22</v>
      </c>
      <c r="H286" s="92">
        <f t="shared" si="37"/>
        <v>545104</v>
      </c>
      <c r="I286" s="92">
        <f t="shared" si="37"/>
        <v>526866</v>
      </c>
      <c r="J286" s="100">
        <f t="shared" si="37"/>
        <v>293015.68</v>
      </c>
      <c r="K286" s="92">
        <f>SUM(K287:K300)</f>
        <v>525366</v>
      </c>
    </row>
    <row r="287" spans="1:11" ht="12.75">
      <c r="A287" s="114"/>
      <c r="B287" s="27">
        <v>3020</v>
      </c>
      <c r="C287" s="18" t="s">
        <v>73</v>
      </c>
      <c r="D287" s="82">
        <v>1240</v>
      </c>
      <c r="E287" s="99">
        <v>440.8</v>
      </c>
      <c r="F287" s="99">
        <v>253.37</v>
      </c>
      <c r="G287" s="82">
        <v>1240</v>
      </c>
      <c r="H287" s="82">
        <v>1240</v>
      </c>
      <c r="I287" s="82">
        <v>1240</v>
      </c>
      <c r="J287" s="99">
        <v>450.02</v>
      </c>
      <c r="K287" s="82">
        <v>1240</v>
      </c>
    </row>
    <row r="288" spans="1:11" ht="12.75">
      <c r="A288" s="115"/>
      <c r="B288" s="27">
        <v>4010</v>
      </c>
      <c r="C288" s="18" t="s">
        <v>37</v>
      </c>
      <c r="D288" s="82">
        <v>80610</v>
      </c>
      <c r="E288" s="99">
        <v>53515.3</v>
      </c>
      <c r="F288" s="99">
        <v>38869.59</v>
      </c>
      <c r="G288" s="82">
        <v>60000</v>
      </c>
      <c r="H288" s="82">
        <v>60221</v>
      </c>
      <c r="I288" s="82">
        <v>60021</v>
      </c>
      <c r="J288" s="99">
        <v>39655.72</v>
      </c>
      <c r="K288" s="82">
        <v>60021</v>
      </c>
    </row>
    <row r="289" spans="1:11" ht="12.75">
      <c r="A289" s="115"/>
      <c r="B289" s="27">
        <v>4040</v>
      </c>
      <c r="C289" s="18" t="s">
        <v>38</v>
      </c>
      <c r="D289" s="82">
        <v>7113</v>
      </c>
      <c r="E289" s="99">
        <v>3608.96</v>
      </c>
      <c r="F289" s="99">
        <v>4347.22</v>
      </c>
      <c r="G289" s="82">
        <v>4347.22</v>
      </c>
      <c r="H289" s="82">
        <v>4500</v>
      </c>
      <c r="I289" s="82">
        <v>4700</v>
      </c>
      <c r="J289" s="99">
        <v>4332.33</v>
      </c>
      <c r="K289" s="82">
        <v>4700</v>
      </c>
    </row>
    <row r="290" spans="1:11" ht="12.75">
      <c r="A290" s="115"/>
      <c r="B290" s="27">
        <v>4110</v>
      </c>
      <c r="C290" s="18" t="s">
        <v>39</v>
      </c>
      <c r="D290" s="82">
        <v>18770</v>
      </c>
      <c r="E290" s="99">
        <v>7043.14</v>
      </c>
      <c r="F290" s="99">
        <v>6375.24</v>
      </c>
      <c r="G290" s="82">
        <v>9500</v>
      </c>
      <c r="H290" s="82">
        <v>10311</v>
      </c>
      <c r="I290" s="82">
        <v>10311</v>
      </c>
      <c r="J290" s="99">
        <v>6315.05</v>
      </c>
      <c r="K290" s="82">
        <v>10311</v>
      </c>
    </row>
    <row r="291" spans="1:11" ht="12.75">
      <c r="A291" s="115"/>
      <c r="B291" s="27">
        <v>4120</v>
      </c>
      <c r="C291" s="18" t="s">
        <v>40</v>
      </c>
      <c r="D291" s="82">
        <v>2966</v>
      </c>
      <c r="E291" s="99">
        <v>1942.94</v>
      </c>
      <c r="F291" s="99">
        <v>980.49</v>
      </c>
      <c r="G291" s="82">
        <v>1400</v>
      </c>
      <c r="H291" s="82">
        <v>1586</v>
      </c>
      <c r="I291" s="82">
        <v>1586</v>
      </c>
      <c r="J291" s="99">
        <v>971.22</v>
      </c>
      <c r="K291" s="82">
        <v>1586</v>
      </c>
    </row>
    <row r="292" spans="1:11" ht="12.75">
      <c r="A292" s="115"/>
      <c r="B292" s="27">
        <v>4210</v>
      </c>
      <c r="C292" s="18" t="s">
        <v>14</v>
      </c>
      <c r="D292" s="82">
        <v>37000</v>
      </c>
      <c r="E292" s="99">
        <v>21608.53</v>
      </c>
      <c r="F292" s="99">
        <v>9736.98</v>
      </c>
      <c r="G292" s="82">
        <v>31000</v>
      </c>
      <c r="H292" s="82">
        <v>32000</v>
      </c>
      <c r="I292" s="82">
        <v>30200</v>
      </c>
      <c r="J292" s="99">
        <v>13334.54</v>
      </c>
      <c r="K292" s="82">
        <v>28700</v>
      </c>
    </row>
    <row r="293" spans="1:11" ht="12.75">
      <c r="A293" s="115"/>
      <c r="B293" s="27">
        <v>4270</v>
      </c>
      <c r="C293" s="18" t="s">
        <v>24</v>
      </c>
      <c r="D293" s="82">
        <v>8000</v>
      </c>
      <c r="E293" s="99">
        <v>4543.57</v>
      </c>
      <c r="F293" s="99">
        <v>2415.6</v>
      </c>
      <c r="G293" s="82">
        <v>8000</v>
      </c>
      <c r="H293" s="82">
        <v>8250</v>
      </c>
      <c r="I293" s="82">
        <v>4250</v>
      </c>
      <c r="J293" s="99">
        <v>1439.1</v>
      </c>
      <c r="K293" s="82">
        <v>4250</v>
      </c>
    </row>
    <row r="294" spans="1:11" ht="12.75">
      <c r="A294" s="115"/>
      <c r="B294" s="27">
        <v>4280</v>
      </c>
      <c r="C294" s="18" t="s">
        <v>44</v>
      </c>
      <c r="D294" s="82">
        <v>300</v>
      </c>
      <c r="E294" s="99">
        <v>191</v>
      </c>
      <c r="F294" s="99">
        <v>67</v>
      </c>
      <c r="G294" s="82">
        <v>300</v>
      </c>
      <c r="H294" s="82">
        <v>300</v>
      </c>
      <c r="I294" s="82">
        <v>300</v>
      </c>
      <c r="J294" s="99">
        <v>0</v>
      </c>
      <c r="K294" s="82">
        <v>300</v>
      </c>
    </row>
    <row r="295" spans="1:11" ht="12.75">
      <c r="A295" s="115"/>
      <c r="B295" s="27">
        <v>4300</v>
      </c>
      <c r="C295" s="18" t="s">
        <v>15</v>
      </c>
      <c r="D295" s="82">
        <v>466479</v>
      </c>
      <c r="E295" s="99">
        <v>398385.7</v>
      </c>
      <c r="F295" s="99">
        <v>272194.57</v>
      </c>
      <c r="G295" s="82">
        <v>448200</v>
      </c>
      <c r="H295" s="82">
        <v>420000</v>
      </c>
      <c r="I295" s="82">
        <v>407562</v>
      </c>
      <c r="J295" s="99">
        <v>221767.6</v>
      </c>
      <c r="K295" s="82">
        <v>407562</v>
      </c>
    </row>
    <row r="296" spans="1:11" ht="25.5">
      <c r="A296" s="115"/>
      <c r="B296" s="27">
        <v>4360</v>
      </c>
      <c r="C296" s="18" t="s">
        <v>46</v>
      </c>
      <c r="D296" s="82">
        <v>1000</v>
      </c>
      <c r="E296" s="99">
        <v>696.62</v>
      </c>
      <c r="F296" s="99">
        <v>497.76</v>
      </c>
      <c r="G296" s="82">
        <v>1000</v>
      </c>
      <c r="H296" s="82">
        <v>1000</v>
      </c>
      <c r="I296" s="82">
        <v>1000</v>
      </c>
      <c r="J296" s="99">
        <v>502.1</v>
      </c>
      <c r="K296" s="82">
        <v>1000</v>
      </c>
    </row>
    <row r="297" spans="1:11" ht="12.75">
      <c r="A297" s="115"/>
      <c r="B297" s="27">
        <v>4410</v>
      </c>
      <c r="C297" s="27" t="s">
        <v>48</v>
      </c>
      <c r="D297" s="82">
        <v>300</v>
      </c>
      <c r="E297" s="99">
        <v>0</v>
      </c>
      <c r="F297" s="99">
        <v>43.48</v>
      </c>
      <c r="G297" s="82">
        <v>300</v>
      </c>
      <c r="H297" s="82">
        <v>300</v>
      </c>
      <c r="I297" s="82">
        <v>300</v>
      </c>
      <c r="J297" s="99">
        <v>0</v>
      </c>
      <c r="K297" s="82">
        <v>300</v>
      </c>
    </row>
    <row r="298" spans="1:11" ht="12.75">
      <c r="A298" s="115"/>
      <c r="B298" s="27">
        <v>4430</v>
      </c>
      <c r="C298" s="18" t="s">
        <v>16</v>
      </c>
      <c r="D298" s="82">
        <v>3200</v>
      </c>
      <c r="E298" s="99">
        <v>2930</v>
      </c>
      <c r="F298" s="99">
        <v>702</v>
      </c>
      <c r="G298" s="82">
        <v>3200</v>
      </c>
      <c r="H298" s="82">
        <v>3300</v>
      </c>
      <c r="I298" s="82">
        <v>3300</v>
      </c>
      <c r="J298" s="99">
        <v>2152</v>
      </c>
      <c r="K298" s="82">
        <v>3300</v>
      </c>
    </row>
    <row r="299" spans="1:11" ht="12.75">
      <c r="A299" s="115"/>
      <c r="B299" s="27">
        <v>4440</v>
      </c>
      <c r="C299" s="18" t="s">
        <v>50</v>
      </c>
      <c r="D299" s="82">
        <v>2096</v>
      </c>
      <c r="E299" s="99">
        <v>2000</v>
      </c>
      <c r="F299" s="99">
        <v>2096</v>
      </c>
      <c r="G299" s="82">
        <v>2096</v>
      </c>
      <c r="H299" s="82">
        <v>2096</v>
      </c>
      <c r="I299" s="82">
        <v>2096</v>
      </c>
      <c r="J299" s="99">
        <v>2096</v>
      </c>
      <c r="K299" s="82">
        <v>2096</v>
      </c>
    </row>
    <row r="300" spans="1:11" ht="12.75" hidden="1">
      <c r="A300" s="115"/>
      <c r="B300" s="145">
        <v>6060</v>
      </c>
      <c r="C300" s="18" t="s">
        <v>61</v>
      </c>
      <c r="D300" s="82">
        <v>0</v>
      </c>
      <c r="E300" s="99">
        <v>0</v>
      </c>
      <c r="F300" s="99">
        <v>0</v>
      </c>
      <c r="G300" s="82">
        <v>0</v>
      </c>
      <c r="H300" s="82">
        <v>0</v>
      </c>
      <c r="I300" s="82">
        <v>0</v>
      </c>
      <c r="J300" s="99">
        <v>0</v>
      </c>
      <c r="K300" s="82">
        <v>0</v>
      </c>
    </row>
    <row r="301" spans="1:11" ht="12.75">
      <c r="A301" s="114">
        <v>80114</v>
      </c>
      <c r="B301" s="26"/>
      <c r="C301" s="19" t="s">
        <v>82</v>
      </c>
      <c r="D301" s="92">
        <f aca="true" t="shared" si="38" ref="D301:J301">SUM(D302:D322)</f>
        <v>346465</v>
      </c>
      <c r="E301" s="100">
        <f t="shared" si="38"/>
        <v>323782.57</v>
      </c>
      <c r="F301" s="100">
        <f t="shared" si="38"/>
        <v>245959.34999999998</v>
      </c>
      <c r="G301" s="92">
        <f t="shared" si="38"/>
        <v>365797</v>
      </c>
      <c r="H301" s="92">
        <f t="shared" si="38"/>
        <v>383267</v>
      </c>
      <c r="I301" s="92">
        <f t="shared" si="38"/>
        <v>380267</v>
      </c>
      <c r="J301" s="100">
        <f t="shared" si="38"/>
        <v>259453.97</v>
      </c>
      <c r="K301" s="92">
        <f>SUM(K302:K322)</f>
        <v>383267</v>
      </c>
    </row>
    <row r="302" spans="1:11" ht="12.75">
      <c r="A302" s="114"/>
      <c r="B302" s="27">
        <v>3020</v>
      </c>
      <c r="C302" s="18" t="s">
        <v>73</v>
      </c>
      <c r="D302" s="82">
        <v>2000</v>
      </c>
      <c r="E302" s="99">
        <v>1057.28</v>
      </c>
      <c r="F302" s="99">
        <v>738.02</v>
      </c>
      <c r="G302" s="82">
        <v>2000</v>
      </c>
      <c r="H302" s="82">
        <v>2000</v>
      </c>
      <c r="I302" s="82">
        <v>1000</v>
      </c>
      <c r="J302" s="99">
        <v>353.43</v>
      </c>
      <c r="K302" s="82">
        <v>1000</v>
      </c>
    </row>
    <row r="303" spans="1:11" ht="12.75">
      <c r="A303" s="115"/>
      <c r="B303" s="27">
        <v>4010</v>
      </c>
      <c r="C303" s="18" t="s">
        <v>37</v>
      </c>
      <c r="D303" s="82">
        <v>219665</v>
      </c>
      <c r="E303" s="99">
        <v>227974.77</v>
      </c>
      <c r="F303" s="99">
        <v>153370.65</v>
      </c>
      <c r="G303" s="82">
        <v>237800</v>
      </c>
      <c r="H303" s="82">
        <v>257000</v>
      </c>
      <c r="I303" s="82">
        <v>250000</v>
      </c>
      <c r="J303" s="99">
        <v>165380.6</v>
      </c>
      <c r="K303" s="82">
        <v>250000</v>
      </c>
    </row>
    <row r="304" spans="1:11" ht="12.75">
      <c r="A304" s="115"/>
      <c r="B304" s="27">
        <v>4040</v>
      </c>
      <c r="C304" s="18" t="s">
        <v>38</v>
      </c>
      <c r="D304" s="82">
        <v>17880</v>
      </c>
      <c r="E304" s="99">
        <v>16088.34</v>
      </c>
      <c r="F304" s="99">
        <v>17877.28</v>
      </c>
      <c r="G304" s="82">
        <v>17877</v>
      </c>
      <c r="H304" s="82">
        <v>20208</v>
      </c>
      <c r="I304" s="82">
        <v>20208</v>
      </c>
      <c r="J304" s="99">
        <v>19260.86</v>
      </c>
      <c r="K304" s="82">
        <v>20208</v>
      </c>
    </row>
    <row r="305" spans="1:11" ht="12.75">
      <c r="A305" s="115"/>
      <c r="B305" s="27">
        <v>4110</v>
      </c>
      <c r="C305" s="18" t="s">
        <v>39</v>
      </c>
      <c r="D305" s="82">
        <v>39989</v>
      </c>
      <c r="E305" s="99">
        <v>33938.46</v>
      </c>
      <c r="F305" s="99">
        <v>29097.44</v>
      </c>
      <c r="G305" s="82">
        <v>39989</v>
      </c>
      <c r="H305" s="82">
        <v>43000</v>
      </c>
      <c r="I305" s="82">
        <v>43000</v>
      </c>
      <c r="J305" s="99">
        <v>28777.38</v>
      </c>
      <c r="K305" s="82">
        <v>43000</v>
      </c>
    </row>
    <row r="306" spans="1:11" ht="12.75">
      <c r="A306" s="115"/>
      <c r="B306" s="27">
        <v>4120</v>
      </c>
      <c r="C306" s="18" t="s">
        <v>40</v>
      </c>
      <c r="D306" s="82">
        <v>6535</v>
      </c>
      <c r="E306" s="99">
        <v>4822.12</v>
      </c>
      <c r="F306" s="99">
        <v>3996.7</v>
      </c>
      <c r="G306" s="82">
        <v>6535</v>
      </c>
      <c r="H306" s="82">
        <v>7000</v>
      </c>
      <c r="I306" s="82">
        <v>7000</v>
      </c>
      <c r="J306" s="99">
        <v>4015.56</v>
      </c>
      <c r="K306" s="82">
        <v>7000</v>
      </c>
    </row>
    <row r="307" spans="1:11" ht="12.75">
      <c r="A307" s="115"/>
      <c r="B307" s="27">
        <v>4170</v>
      </c>
      <c r="C307" s="18" t="s">
        <v>42</v>
      </c>
      <c r="D307" s="82">
        <v>6000</v>
      </c>
      <c r="E307" s="99">
        <v>3537.58</v>
      </c>
      <c r="F307" s="99">
        <v>4284.5</v>
      </c>
      <c r="G307" s="82">
        <v>7000</v>
      </c>
      <c r="H307" s="82">
        <v>7000</v>
      </c>
      <c r="I307" s="82">
        <v>16000</v>
      </c>
      <c r="J307" s="99">
        <v>12052.88</v>
      </c>
      <c r="K307" s="82">
        <v>16000</v>
      </c>
    </row>
    <row r="308" spans="1:11" ht="12.75">
      <c r="A308" s="115"/>
      <c r="B308" s="27">
        <v>4210</v>
      </c>
      <c r="C308" s="18" t="s">
        <v>14</v>
      </c>
      <c r="D308" s="82">
        <v>13920</v>
      </c>
      <c r="E308" s="99">
        <v>8494</v>
      </c>
      <c r="F308" s="99">
        <v>9385.77</v>
      </c>
      <c r="G308" s="82">
        <v>13920</v>
      </c>
      <c r="H308" s="82">
        <v>14000</v>
      </c>
      <c r="I308" s="82">
        <v>12000</v>
      </c>
      <c r="J308" s="99">
        <v>8850.54</v>
      </c>
      <c r="K308" s="82">
        <v>13500</v>
      </c>
    </row>
    <row r="309" spans="1:11" ht="12.75">
      <c r="A309" s="115"/>
      <c r="B309" s="27">
        <v>4260</v>
      </c>
      <c r="C309" s="18" t="s">
        <v>43</v>
      </c>
      <c r="D309" s="82">
        <v>3100</v>
      </c>
      <c r="E309" s="99">
        <v>2595.3</v>
      </c>
      <c r="F309" s="99">
        <v>1913.68</v>
      </c>
      <c r="G309" s="82">
        <v>3100</v>
      </c>
      <c r="H309" s="82">
        <v>3100</v>
      </c>
      <c r="I309" s="82">
        <v>3100</v>
      </c>
      <c r="J309" s="99">
        <v>1693.09</v>
      </c>
      <c r="K309" s="82">
        <v>3100</v>
      </c>
    </row>
    <row r="310" spans="1:11" ht="12.75">
      <c r="A310" s="115"/>
      <c r="B310" s="27">
        <v>4270</v>
      </c>
      <c r="C310" s="18" t="s">
        <v>24</v>
      </c>
      <c r="D310" s="82">
        <v>2000</v>
      </c>
      <c r="E310" s="99">
        <v>641.96</v>
      </c>
      <c r="F310" s="99">
        <v>738.58</v>
      </c>
      <c r="G310" s="82">
        <v>2000</v>
      </c>
      <c r="H310" s="82">
        <v>2000</v>
      </c>
      <c r="I310" s="82">
        <v>2000</v>
      </c>
      <c r="J310" s="99">
        <v>489.32</v>
      </c>
      <c r="K310" s="82">
        <v>2000</v>
      </c>
    </row>
    <row r="311" spans="1:11" ht="12.75">
      <c r="A311" s="115"/>
      <c r="B311" s="27">
        <v>4280</v>
      </c>
      <c r="C311" s="18" t="s">
        <v>44</v>
      </c>
      <c r="D311" s="82">
        <v>800</v>
      </c>
      <c r="E311" s="99">
        <v>192</v>
      </c>
      <c r="F311" s="99">
        <v>387</v>
      </c>
      <c r="G311" s="82">
        <v>800</v>
      </c>
      <c r="H311" s="82">
        <v>800</v>
      </c>
      <c r="I311" s="82">
        <v>800</v>
      </c>
      <c r="J311" s="99">
        <v>0</v>
      </c>
      <c r="K311" s="82">
        <v>800</v>
      </c>
    </row>
    <row r="312" spans="1:11" ht="12.75">
      <c r="A312" s="115"/>
      <c r="B312" s="27">
        <v>4300</v>
      </c>
      <c r="C312" s="18" t="s">
        <v>15</v>
      </c>
      <c r="D312" s="82">
        <v>11000</v>
      </c>
      <c r="E312" s="99">
        <v>8211.7</v>
      </c>
      <c r="F312" s="99">
        <v>9220.67</v>
      </c>
      <c r="G312" s="82">
        <v>11000</v>
      </c>
      <c r="H312" s="82">
        <v>11400</v>
      </c>
      <c r="I312" s="82">
        <v>11400</v>
      </c>
      <c r="J312" s="99">
        <v>7703.75</v>
      </c>
      <c r="K312" s="82">
        <v>12900</v>
      </c>
    </row>
    <row r="313" spans="1:11" ht="12.75">
      <c r="A313" s="115"/>
      <c r="B313" s="27">
        <v>4350</v>
      </c>
      <c r="C313" s="18" t="s">
        <v>55</v>
      </c>
      <c r="D313" s="82">
        <v>1500</v>
      </c>
      <c r="E313" s="99">
        <v>775.6</v>
      </c>
      <c r="F313" s="99">
        <v>505.63</v>
      </c>
      <c r="G313" s="82">
        <v>700</v>
      </c>
      <c r="H313" s="82">
        <v>800</v>
      </c>
      <c r="I313" s="82">
        <v>800</v>
      </c>
      <c r="J313" s="99">
        <v>406.61</v>
      </c>
      <c r="K313" s="82">
        <v>800</v>
      </c>
    </row>
    <row r="314" spans="1:11" ht="25.5">
      <c r="A314" s="115"/>
      <c r="B314" s="27">
        <v>4360</v>
      </c>
      <c r="C314" s="18" t="s">
        <v>46</v>
      </c>
      <c r="D314" s="82">
        <v>1000</v>
      </c>
      <c r="E314" s="99">
        <v>845.23</v>
      </c>
      <c r="F314" s="99">
        <v>595.36</v>
      </c>
      <c r="G314" s="82">
        <v>1000</v>
      </c>
      <c r="H314" s="82">
        <v>1000</v>
      </c>
      <c r="I314" s="82">
        <v>1000</v>
      </c>
      <c r="J314" s="99">
        <v>503.34</v>
      </c>
      <c r="K314" s="82">
        <v>1000</v>
      </c>
    </row>
    <row r="315" spans="1:11" ht="25.5">
      <c r="A315" s="115"/>
      <c r="B315" s="27">
        <v>4370</v>
      </c>
      <c r="C315" s="18" t="s">
        <v>47</v>
      </c>
      <c r="D315" s="82">
        <v>2000</v>
      </c>
      <c r="E315" s="99">
        <v>2033.03</v>
      </c>
      <c r="F315" s="99">
        <v>1901.59</v>
      </c>
      <c r="G315" s="82">
        <v>3000</v>
      </c>
      <c r="H315" s="82">
        <v>3000</v>
      </c>
      <c r="I315" s="82">
        <v>2000</v>
      </c>
      <c r="J315" s="99">
        <v>1099.12</v>
      </c>
      <c r="K315" s="82">
        <v>2000</v>
      </c>
    </row>
    <row r="316" spans="1:11" ht="12.75">
      <c r="A316" s="115"/>
      <c r="B316" s="27">
        <v>4410</v>
      </c>
      <c r="C316" s="18" t="s">
        <v>48</v>
      </c>
      <c r="D316" s="82">
        <v>1000</v>
      </c>
      <c r="E316" s="99">
        <v>716.93</v>
      </c>
      <c r="F316" s="99">
        <v>687.04</v>
      </c>
      <c r="G316" s="82">
        <v>1000</v>
      </c>
      <c r="H316" s="82">
        <v>1000</v>
      </c>
      <c r="I316" s="82">
        <v>1500</v>
      </c>
      <c r="J316" s="99">
        <v>832.49</v>
      </c>
      <c r="K316" s="82">
        <v>1500</v>
      </c>
    </row>
    <row r="317" spans="1:11" ht="12.75">
      <c r="A317" s="115"/>
      <c r="B317" s="27">
        <v>4430</v>
      </c>
      <c r="C317" s="18" t="s">
        <v>16</v>
      </c>
      <c r="D317" s="82">
        <v>2000</v>
      </c>
      <c r="E317" s="99">
        <v>109</v>
      </c>
      <c r="F317" s="99">
        <v>372.6</v>
      </c>
      <c r="G317" s="82">
        <v>2000</v>
      </c>
      <c r="H317" s="82">
        <v>2100</v>
      </c>
      <c r="I317" s="82">
        <v>600</v>
      </c>
      <c r="J317" s="99">
        <v>176</v>
      </c>
      <c r="K317" s="82">
        <v>600</v>
      </c>
    </row>
    <row r="318" spans="1:11" ht="12.75">
      <c r="A318" s="115"/>
      <c r="B318" s="27">
        <v>4440</v>
      </c>
      <c r="C318" s="18" t="s">
        <v>50</v>
      </c>
      <c r="D318" s="82">
        <v>7576</v>
      </c>
      <c r="E318" s="99">
        <v>6556</v>
      </c>
      <c r="F318" s="99">
        <v>7576</v>
      </c>
      <c r="G318" s="82">
        <v>7576</v>
      </c>
      <c r="H318" s="82">
        <v>7859</v>
      </c>
      <c r="I318" s="82">
        <v>7859</v>
      </c>
      <c r="J318" s="99">
        <v>7859</v>
      </c>
      <c r="K318" s="82">
        <v>7859</v>
      </c>
    </row>
    <row r="319" spans="1:11" ht="12.75" hidden="1">
      <c r="A319" s="115"/>
      <c r="B319" s="27">
        <v>4580</v>
      </c>
      <c r="C319" s="18" t="s">
        <v>140</v>
      </c>
      <c r="D319" s="82"/>
      <c r="E319" s="99">
        <v>0</v>
      </c>
      <c r="F319" s="99">
        <v>0</v>
      </c>
      <c r="G319" s="82">
        <v>0</v>
      </c>
      <c r="H319" s="82">
        <v>0</v>
      </c>
      <c r="I319" s="82">
        <v>0</v>
      </c>
      <c r="J319" s="99">
        <v>0</v>
      </c>
      <c r="K319" s="82">
        <v>0</v>
      </c>
    </row>
    <row r="320" spans="1:11" ht="12.75" hidden="1">
      <c r="A320" s="115"/>
      <c r="B320" s="27"/>
      <c r="C320" s="18"/>
      <c r="D320" s="82">
        <v>2500</v>
      </c>
      <c r="E320" s="99">
        <v>1162.19</v>
      </c>
      <c r="F320" s="99">
        <v>965.88</v>
      </c>
      <c r="G320" s="82">
        <v>2500</v>
      </c>
      <c r="H320" s="82">
        <v>0</v>
      </c>
      <c r="I320" s="82">
        <v>0</v>
      </c>
      <c r="J320" s="99"/>
      <c r="K320" s="82">
        <v>0</v>
      </c>
    </row>
    <row r="321" spans="1:11" ht="12.75" hidden="1">
      <c r="A321" s="115"/>
      <c r="B321" s="27"/>
      <c r="C321" s="18"/>
      <c r="D321" s="82">
        <v>6000</v>
      </c>
      <c r="E321" s="99">
        <v>4031.08</v>
      </c>
      <c r="F321" s="99">
        <v>2344.96</v>
      </c>
      <c r="G321" s="82">
        <v>6000</v>
      </c>
      <c r="H321" s="82">
        <v>0</v>
      </c>
      <c r="I321" s="82">
        <v>0</v>
      </c>
      <c r="J321" s="99"/>
      <c r="K321" s="82">
        <v>0</v>
      </c>
    </row>
    <row r="322" spans="1:11" ht="12.75" hidden="1">
      <c r="A322" s="115"/>
      <c r="B322" s="145">
        <v>6060</v>
      </c>
      <c r="C322" s="18" t="s">
        <v>61</v>
      </c>
      <c r="D322" s="82">
        <v>0</v>
      </c>
      <c r="E322" s="99">
        <v>0</v>
      </c>
      <c r="F322" s="99">
        <v>0</v>
      </c>
      <c r="G322" s="82">
        <v>0</v>
      </c>
      <c r="H322" s="82">
        <v>0</v>
      </c>
      <c r="I322" s="82">
        <v>0</v>
      </c>
      <c r="J322" s="99">
        <v>0</v>
      </c>
      <c r="K322" s="82">
        <v>0</v>
      </c>
    </row>
    <row r="323" spans="1:11" ht="12.75">
      <c r="A323" s="114">
        <v>80146</v>
      </c>
      <c r="B323" s="26"/>
      <c r="C323" s="19" t="s">
        <v>83</v>
      </c>
      <c r="D323" s="92">
        <f aca="true" t="shared" si="39" ref="D323:J323">SUM(D324:D326)</f>
        <v>66477</v>
      </c>
      <c r="E323" s="100">
        <f t="shared" si="39"/>
        <v>39656.54</v>
      </c>
      <c r="F323" s="100">
        <f t="shared" si="39"/>
        <v>20540.059999999998</v>
      </c>
      <c r="G323" s="92">
        <f t="shared" si="39"/>
        <v>66477</v>
      </c>
      <c r="H323" s="92">
        <f t="shared" si="39"/>
        <v>65926</v>
      </c>
      <c r="I323" s="92">
        <f t="shared" si="39"/>
        <v>65926</v>
      </c>
      <c r="J323" s="100">
        <f t="shared" si="39"/>
        <v>24026.62</v>
      </c>
      <c r="K323" s="92">
        <f>SUM(K324:K326)</f>
        <v>65926</v>
      </c>
    </row>
    <row r="324" spans="1:11" ht="12.75">
      <c r="A324" s="115"/>
      <c r="B324" s="27">
        <v>4210</v>
      </c>
      <c r="C324" s="18" t="s">
        <v>14</v>
      </c>
      <c r="D324" s="82">
        <v>16678</v>
      </c>
      <c r="E324" s="99">
        <v>4854.92</v>
      </c>
      <c r="F324" s="99">
        <v>2513.14</v>
      </c>
      <c r="G324" s="82">
        <v>16678</v>
      </c>
      <c r="H324" s="82">
        <v>10986</v>
      </c>
      <c r="I324" s="82">
        <v>13216</v>
      </c>
      <c r="J324" s="99">
        <v>5642.28</v>
      </c>
      <c r="K324" s="82">
        <v>14816</v>
      </c>
    </row>
    <row r="325" spans="1:11" ht="12.75">
      <c r="A325" s="115"/>
      <c r="B325" s="27">
        <v>4300</v>
      </c>
      <c r="C325" s="18" t="s">
        <v>15</v>
      </c>
      <c r="D325" s="82">
        <v>42874</v>
      </c>
      <c r="E325" s="99">
        <v>32463.7</v>
      </c>
      <c r="F325" s="99">
        <v>15576.14</v>
      </c>
      <c r="G325" s="82">
        <v>42874</v>
      </c>
      <c r="H325" s="82">
        <v>48994</v>
      </c>
      <c r="I325" s="82">
        <v>47008</v>
      </c>
      <c r="J325" s="99">
        <v>17527.34</v>
      </c>
      <c r="K325" s="82">
        <v>46808</v>
      </c>
    </row>
    <row r="326" spans="1:11" ht="12.75">
      <c r="A326" s="115"/>
      <c r="B326" s="27">
        <v>4410</v>
      </c>
      <c r="C326" s="18" t="s">
        <v>48</v>
      </c>
      <c r="D326" s="82">
        <v>6925</v>
      </c>
      <c r="E326" s="99">
        <v>2337.92</v>
      </c>
      <c r="F326" s="99">
        <v>2450.78</v>
      </c>
      <c r="G326" s="82">
        <v>6925</v>
      </c>
      <c r="H326" s="82">
        <v>5946</v>
      </c>
      <c r="I326" s="82">
        <v>5702</v>
      </c>
      <c r="J326" s="99">
        <v>857</v>
      </c>
      <c r="K326" s="82">
        <v>4302</v>
      </c>
    </row>
    <row r="327" spans="1:11" ht="12.75">
      <c r="A327" s="114">
        <v>80148</v>
      </c>
      <c r="B327" s="26"/>
      <c r="C327" s="19" t="s">
        <v>84</v>
      </c>
      <c r="D327" s="92">
        <f aca="true" t="shared" si="40" ref="D327:J327">SUM(D328:D343)</f>
        <v>234174</v>
      </c>
      <c r="E327" s="100">
        <f t="shared" si="40"/>
        <v>185381.38999999998</v>
      </c>
      <c r="F327" s="100">
        <f t="shared" si="40"/>
        <v>147562.26</v>
      </c>
      <c r="G327" s="92">
        <f t="shared" si="40"/>
        <v>239715</v>
      </c>
      <c r="H327" s="92">
        <f t="shared" si="40"/>
        <v>248861</v>
      </c>
      <c r="I327" s="92">
        <f t="shared" si="40"/>
        <v>178546</v>
      </c>
      <c r="J327" s="100">
        <f t="shared" si="40"/>
        <v>125819.86</v>
      </c>
      <c r="K327" s="92">
        <f>SUM(K328:K343)</f>
        <v>184246</v>
      </c>
    </row>
    <row r="328" spans="1:11" ht="12.75">
      <c r="A328" s="114"/>
      <c r="B328" s="27">
        <v>3020</v>
      </c>
      <c r="C328" s="18" t="s">
        <v>73</v>
      </c>
      <c r="D328" s="82">
        <v>2000</v>
      </c>
      <c r="E328" s="99">
        <v>1590.57</v>
      </c>
      <c r="F328" s="99">
        <v>1248.04</v>
      </c>
      <c r="G328" s="82">
        <v>2000</v>
      </c>
      <c r="H328" s="82">
        <v>2000</v>
      </c>
      <c r="I328" s="82">
        <v>1500</v>
      </c>
      <c r="J328" s="99">
        <v>453.75</v>
      </c>
      <c r="K328" s="82">
        <v>1500</v>
      </c>
    </row>
    <row r="329" spans="1:11" ht="12.75">
      <c r="A329" s="114"/>
      <c r="B329" s="27">
        <v>4010</v>
      </c>
      <c r="C329" s="18" t="s">
        <v>37</v>
      </c>
      <c r="D329" s="82">
        <v>91839</v>
      </c>
      <c r="E329" s="99">
        <v>89010.17</v>
      </c>
      <c r="F329" s="99">
        <v>71807.57</v>
      </c>
      <c r="G329" s="82">
        <v>102149</v>
      </c>
      <c r="H329" s="82">
        <v>110000</v>
      </c>
      <c r="I329" s="82">
        <v>107001</v>
      </c>
      <c r="J329" s="99">
        <v>74585.72</v>
      </c>
      <c r="K329" s="82">
        <v>107001</v>
      </c>
    </row>
    <row r="330" spans="1:11" ht="12.75">
      <c r="A330" s="114"/>
      <c r="B330" s="27">
        <v>4040</v>
      </c>
      <c r="C330" s="18" t="s">
        <v>38</v>
      </c>
      <c r="D330" s="82">
        <v>8500</v>
      </c>
      <c r="E330" s="99">
        <v>6452.14</v>
      </c>
      <c r="F330" s="99">
        <v>7500.56</v>
      </c>
      <c r="G330" s="82">
        <v>7501</v>
      </c>
      <c r="H330" s="82">
        <v>8683</v>
      </c>
      <c r="I330" s="82">
        <v>8133</v>
      </c>
      <c r="J330" s="99">
        <v>8094.91</v>
      </c>
      <c r="K330" s="82">
        <v>8133</v>
      </c>
    </row>
    <row r="331" spans="1:11" ht="12.75">
      <c r="A331" s="114"/>
      <c r="B331" s="27">
        <v>4110</v>
      </c>
      <c r="C331" s="18" t="s">
        <v>39</v>
      </c>
      <c r="D331" s="82">
        <v>17495</v>
      </c>
      <c r="E331" s="99">
        <v>11976.84</v>
      </c>
      <c r="F331" s="99">
        <v>12010.36</v>
      </c>
      <c r="G331" s="82">
        <v>14272</v>
      </c>
      <c r="H331" s="82">
        <v>17032</v>
      </c>
      <c r="I331" s="82">
        <v>20303</v>
      </c>
      <c r="J331" s="99">
        <v>11082.47</v>
      </c>
      <c r="K331" s="82">
        <v>20303</v>
      </c>
    </row>
    <row r="332" spans="1:11" ht="12.75">
      <c r="A332" s="114"/>
      <c r="B332" s="27">
        <v>4120</v>
      </c>
      <c r="C332" s="18" t="s">
        <v>40</v>
      </c>
      <c r="D332" s="82">
        <v>2839</v>
      </c>
      <c r="E332" s="99">
        <v>2076.09</v>
      </c>
      <c r="F332" s="99">
        <v>1942.98</v>
      </c>
      <c r="G332" s="82">
        <v>2792</v>
      </c>
      <c r="H332" s="82">
        <v>2907</v>
      </c>
      <c r="I332" s="82">
        <v>2820</v>
      </c>
      <c r="J332" s="99">
        <v>1789.08</v>
      </c>
      <c r="K332" s="82">
        <v>2820</v>
      </c>
    </row>
    <row r="333" spans="1:11" ht="12.75">
      <c r="A333" s="114"/>
      <c r="B333" s="27">
        <v>4210</v>
      </c>
      <c r="C333" s="18" t="s">
        <v>14</v>
      </c>
      <c r="D333" s="82">
        <v>7762</v>
      </c>
      <c r="E333" s="99">
        <v>9074.84</v>
      </c>
      <c r="F333" s="99">
        <v>4937.77</v>
      </c>
      <c r="G333" s="82">
        <v>7762</v>
      </c>
      <c r="H333" s="82">
        <v>7000</v>
      </c>
      <c r="I333" s="82">
        <v>6000</v>
      </c>
      <c r="J333" s="99">
        <v>3268.98</v>
      </c>
      <c r="K333" s="82">
        <v>6000</v>
      </c>
    </row>
    <row r="334" spans="1:11" ht="12.75">
      <c r="A334" s="114"/>
      <c r="B334" s="27">
        <v>4220</v>
      </c>
      <c r="C334" s="18" t="s">
        <v>78</v>
      </c>
      <c r="D334" s="82">
        <v>90000</v>
      </c>
      <c r="E334" s="99">
        <v>58994.43</v>
      </c>
      <c r="F334" s="99">
        <v>41585.37</v>
      </c>
      <c r="G334" s="82">
        <v>90000</v>
      </c>
      <c r="H334" s="82">
        <v>90000</v>
      </c>
      <c r="I334" s="82">
        <v>19000</v>
      </c>
      <c r="J334" s="99">
        <v>16523.23</v>
      </c>
      <c r="K334" s="82">
        <v>17500</v>
      </c>
    </row>
    <row r="335" spans="1:11" ht="12.75">
      <c r="A335" s="114"/>
      <c r="B335" s="27">
        <v>4260</v>
      </c>
      <c r="C335" s="18" t="s">
        <v>43</v>
      </c>
      <c r="D335" s="82">
        <v>1500</v>
      </c>
      <c r="E335" s="99">
        <v>0</v>
      </c>
      <c r="F335" s="99">
        <v>0</v>
      </c>
      <c r="G335" s="82">
        <v>1500</v>
      </c>
      <c r="H335" s="82">
        <v>1500</v>
      </c>
      <c r="I335" s="82">
        <v>1500</v>
      </c>
      <c r="J335" s="99">
        <v>1500</v>
      </c>
      <c r="K335" s="82">
        <v>10000</v>
      </c>
    </row>
    <row r="336" spans="1:11" ht="12.75">
      <c r="A336" s="114"/>
      <c r="B336" s="27">
        <v>4270</v>
      </c>
      <c r="C336" s="18" t="s">
        <v>24</v>
      </c>
      <c r="D336" s="82">
        <v>2500</v>
      </c>
      <c r="E336" s="99">
        <v>900.01</v>
      </c>
      <c r="F336" s="99">
        <v>0</v>
      </c>
      <c r="G336" s="82">
        <v>2500</v>
      </c>
      <c r="H336" s="82">
        <v>2000</v>
      </c>
      <c r="I336" s="82">
        <v>1000</v>
      </c>
      <c r="J336" s="99">
        <v>698.1</v>
      </c>
      <c r="K336" s="82">
        <v>1000</v>
      </c>
    </row>
    <row r="337" spans="1:11" ht="12.75">
      <c r="A337" s="114"/>
      <c r="B337" s="27">
        <v>4280</v>
      </c>
      <c r="C337" s="18" t="s">
        <v>44</v>
      </c>
      <c r="D337" s="82">
        <v>1000</v>
      </c>
      <c r="E337" s="99">
        <v>67</v>
      </c>
      <c r="F337" s="99">
        <v>117</v>
      </c>
      <c r="G337" s="82">
        <v>1000</v>
      </c>
      <c r="H337" s="82">
        <v>1000</v>
      </c>
      <c r="I337" s="82">
        <v>1000</v>
      </c>
      <c r="J337" s="99">
        <v>0</v>
      </c>
      <c r="K337" s="82">
        <v>200</v>
      </c>
    </row>
    <row r="338" spans="1:11" ht="12.75">
      <c r="A338" s="114"/>
      <c r="B338" s="27">
        <v>4300</v>
      </c>
      <c r="C338" s="18" t="s">
        <v>15</v>
      </c>
      <c r="D338" s="82">
        <v>1000</v>
      </c>
      <c r="E338" s="99">
        <v>169.3</v>
      </c>
      <c r="F338" s="99">
        <v>0</v>
      </c>
      <c r="G338" s="82">
        <v>500</v>
      </c>
      <c r="H338" s="82">
        <v>500</v>
      </c>
      <c r="I338" s="82">
        <v>4050</v>
      </c>
      <c r="J338" s="99">
        <v>2228.4</v>
      </c>
      <c r="K338" s="82">
        <v>4050</v>
      </c>
    </row>
    <row r="339" spans="1:11" ht="12.75">
      <c r="A339" s="114"/>
      <c r="B339" s="27">
        <v>4410</v>
      </c>
      <c r="C339" s="18" t="s">
        <v>48</v>
      </c>
      <c r="D339" s="82">
        <v>500</v>
      </c>
      <c r="E339" s="99">
        <v>435.2</v>
      </c>
      <c r="F339" s="99">
        <v>241.64</v>
      </c>
      <c r="G339" s="82">
        <v>500</v>
      </c>
      <c r="H339" s="82">
        <v>500</v>
      </c>
      <c r="I339" s="82">
        <v>500</v>
      </c>
      <c r="J339" s="99">
        <v>356.22</v>
      </c>
      <c r="K339" s="82">
        <v>500</v>
      </c>
    </row>
    <row r="340" spans="1:11" ht="12.75">
      <c r="A340" s="114"/>
      <c r="B340" s="27">
        <v>4430</v>
      </c>
      <c r="C340" s="18" t="s">
        <v>16</v>
      </c>
      <c r="D340" s="82">
        <v>500</v>
      </c>
      <c r="E340" s="99">
        <v>0</v>
      </c>
      <c r="F340" s="99">
        <v>0</v>
      </c>
      <c r="G340" s="82">
        <v>500</v>
      </c>
      <c r="H340" s="82">
        <v>500</v>
      </c>
      <c r="I340" s="82">
        <v>500</v>
      </c>
      <c r="J340" s="99">
        <v>0</v>
      </c>
      <c r="K340" s="82">
        <v>0</v>
      </c>
    </row>
    <row r="341" spans="1:11" ht="12.75">
      <c r="A341" s="114"/>
      <c r="B341" s="27">
        <v>4440</v>
      </c>
      <c r="C341" s="18" t="s">
        <v>50</v>
      </c>
      <c r="D341" s="82">
        <v>5239</v>
      </c>
      <c r="E341" s="99">
        <v>4580</v>
      </c>
      <c r="F341" s="99">
        <v>5239</v>
      </c>
      <c r="G341" s="82">
        <v>5239</v>
      </c>
      <c r="H341" s="82">
        <v>5239</v>
      </c>
      <c r="I341" s="82">
        <v>5239</v>
      </c>
      <c r="J341" s="99">
        <v>5239</v>
      </c>
      <c r="K341" s="82">
        <v>5239</v>
      </c>
    </row>
    <row r="342" spans="1:11" ht="25.5" hidden="1">
      <c r="A342" s="114"/>
      <c r="B342" s="27">
        <v>4740</v>
      </c>
      <c r="C342" s="18" t="s">
        <v>52</v>
      </c>
      <c r="D342" s="82">
        <v>500</v>
      </c>
      <c r="E342" s="99">
        <v>12</v>
      </c>
      <c r="F342" s="99">
        <v>0</v>
      </c>
      <c r="G342" s="82">
        <v>500</v>
      </c>
      <c r="H342" s="82">
        <v>0</v>
      </c>
      <c r="I342" s="82"/>
      <c r="J342" s="99"/>
      <c r="K342" s="82"/>
    </row>
    <row r="343" spans="1:11" ht="12.75" hidden="1">
      <c r="A343" s="114"/>
      <c r="B343" s="27">
        <v>4750</v>
      </c>
      <c r="C343" s="18" t="s">
        <v>53</v>
      </c>
      <c r="D343" s="82">
        <v>1000</v>
      </c>
      <c r="E343" s="99">
        <v>42.8</v>
      </c>
      <c r="F343" s="99">
        <v>931.97</v>
      </c>
      <c r="G343" s="82">
        <v>1000</v>
      </c>
      <c r="H343" s="82">
        <v>0</v>
      </c>
      <c r="I343" s="82"/>
      <c r="J343" s="99"/>
      <c r="K343" s="82"/>
    </row>
    <row r="344" spans="1:11" ht="12.75">
      <c r="A344" s="114">
        <v>80195</v>
      </c>
      <c r="B344" s="26"/>
      <c r="C344" s="19" t="s">
        <v>13</v>
      </c>
      <c r="D344" s="92">
        <f aca="true" t="shared" si="41" ref="D344:J344">SUM(D345:D347)</f>
        <v>70183</v>
      </c>
      <c r="E344" s="100">
        <f t="shared" si="41"/>
        <v>92770</v>
      </c>
      <c r="F344" s="100">
        <f t="shared" si="41"/>
        <v>70183</v>
      </c>
      <c r="G344" s="92">
        <f t="shared" si="41"/>
        <v>70885</v>
      </c>
      <c r="H344" s="92">
        <f t="shared" si="41"/>
        <v>70145</v>
      </c>
      <c r="I344" s="92">
        <f t="shared" si="41"/>
        <v>71945</v>
      </c>
      <c r="J344" s="100">
        <f t="shared" si="41"/>
        <v>71605</v>
      </c>
      <c r="K344" s="92">
        <f>SUM(K345:K347)</f>
        <v>71945</v>
      </c>
    </row>
    <row r="345" spans="1:11" ht="12.75">
      <c r="A345" s="114"/>
      <c r="B345" s="27">
        <v>4170</v>
      </c>
      <c r="C345" s="18" t="s">
        <v>42</v>
      </c>
      <c r="D345" s="82">
        <v>0</v>
      </c>
      <c r="E345" s="99">
        <v>0</v>
      </c>
      <c r="F345" s="99">
        <v>0</v>
      </c>
      <c r="G345" s="82">
        <v>702</v>
      </c>
      <c r="H345" s="82">
        <v>160</v>
      </c>
      <c r="I345" s="82">
        <v>1960</v>
      </c>
      <c r="J345" s="99">
        <v>1620</v>
      </c>
      <c r="K345" s="82">
        <v>1960</v>
      </c>
    </row>
    <row r="346" spans="1:11" ht="12.75" hidden="1">
      <c r="A346" s="115"/>
      <c r="B346" s="27">
        <v>4210</v>
      </c>
      <c r="C346" s="18" t="s">
        <v>14</v>
      </c>
      <c r="D346" s="82">
        <v>0</v>
      </c>
      <c r="E346" s="99">
        <v>240</v>
      </c>
      <c r="F346" s="99">
        <v>0</v>
      </c>
      <c r="G346" s="82">
        <v>0</v>
      </c>
      <c r="H346" s="82">
        <v>0</v>
      </c>
      <c r="I346" s="82">
        <v>0</v>
      </c>
      <c r="J346" s="99">
        <v>0</v>
      </c>
      <c r="K346" s="82">
        <v>0</v>
      </c>
    </row>
    <row r="347" spans="1:11" ht="12.75">
      <c r="A347" s="115"/>
      <c r="B347" s="27">
        <v>4440</v>
      </c>
      <c r="C347" s="18" t="s">
        <v>50</v>
      </c>
      <c r="D347" s="82">
        <v>70183</v>
      </c>
      <c r="E347" s="99">
        <v>92530</v>
      </c>
      <c r="F347" s="99">
        <v>70183</v>
      </c>
      <c r="G347" s="82">
        <v>70183</v>
      </c>
      <c r="H347" s="82">
        <v>69985</v>
      </c>
      <c r="I347" s="82">
        <v>69985</v>
      </c>
      <c r="J347" s="99">
        <v>69985</v>
      </c>
      <c r="K347" s="82">
        <v>69985</v>
      </c>
    </row>
    <row r="348" spans="1:11" ht="12.75">
      <c r="A348" s="113">
        <v>851</v>
      </c>
      <c r="B348" s="89"/>
      <c r="C348" s="90" t="s">
        <v>85</v>
      </c>
      <c r="D348" s="91">
        <f aca="true" t="shared" si="42" ref="D348:J348">SUM(D349,D352)</f>
        <v>117000</v>
      </c>
      <c r="E348" s="103">
        <f t="shared" si="42"/>
        <v>107190.35999999999</v>
      </c>
      <c r="F348" s="103">
        <f t="shared" si="42"/>
        <v>73543.24</v>
      </c>
      <c r="G348" s="91">
        <f t="shared" si="42"/>
        <v>117000</v>
      </c>
      <c r="H348" s="91">
        <f t="shared" si="42"/>
        <v>92500</v>
      </c>
      <c r="I348" s="91">
        <f t="shared" si="42"/>
        <v>117000</v>
      </c>
      <c r="J348" s="103">
        <f t="shared" si="42"/>
        <v>96618.79999999999</v>
      </c>
      <c r="K348" s="91">
        <f>SUM(K349,K352)</f>
        <v>124000</v>
      </c>
    </row>
    <row r="349" spans="1:11" ht="12.75">
      <c r="A349" s="114">
        <v>85153</v>
      </c>
      <c r="B349" s="26"/>
      <c r="C349" s="26" t="s">
        <v>86</v>
      </c>
      <c r="D349" s="95">
        <f aca="true" t="shared" si="43" ref="D349:J349">SUM(D350:D351)</f>
        <v>8000</v>
      </c>
      <c r="E349" s="95">
        <f t="shared" si="43"/>
        <v>0</v>
      </c>
      <c r="F349" s="95">
        <f t="shared" si="43"/>
        <v>0</v>
      </c>
      <c r="G349" s="95">
        <f t="shared" si="43"/>
        <v>8000</v>
      </c>
      <c r="H349" s="95">
        <f t="shared" si="43"/>
        <v>8000</v>
      </c>
      <c r="I349" s="95">
        <f t="shared" si="43"/>
        <v>4000</v>
      </c>
      <c r="J349" s="104">
        <f t="shared" si="43"/>
        <v>3419.92</v>
      </c>
      <c r="K349" s="95">
        <f>SUM(K350:K351)</f>
        <v>4000</v>
      </c>
    </row>
    <row r="350" spans="1:11" ht="12.75">
      <c r="A350" s="115"/>
      <c r="B350" s="27">
        <v>4210</v>
      </c>
      <c r="C350" s="27" t="s">
        <v>14</v>
      </c>
      <c r="D350" s="82">
        <v>4000</v>
      </c>
      <c r="E350" s="99">
        <v>0</v>
      </c>
      <c r="F350" s="99">
        <v>0</v>
      </c>
      <c r="G350" s="82">
        <v>4000</v>
      </c>
      <c r="H350" s="82">
        <v>4000</v>
      </c>
      <c r="I350" s="82">
        <v>4000</v>
      </c>
      <c r="J350" s="99">
        <v>3419.92</v>
      </c>
      <c r="K350" s="82">
        <v>4000</v>
      </c>
    </row>
    <row r="351" spans="1:11" ht="12.75" hidden="1">
      <c r="A351" s="115"/>
      <c r="B351" s="27">
        <v>4300</v>
      </c>
      <c r="C351" s="27" t="s">
        <v>15</v>
      </c>
      <c r="D351" s="82">
        <v>4000</v>
      </c>
      <c r="E351" s="99">
        <v>0</v>
      </c>
      <c r="F351" s="99">
        <v>0</v>
      </c>
      <c r="G351" s="82">
        <v>4000</v>
      </c>
      <c r="H351" s="82">
        <v>4000</v>
      </c>
      <c r="I351" s="82">
        <v>0</v>
      </c>
      <c r="J351" s="99">
        <v>0</v>
      </c>
      <c r="K351" s="82">
        <v>0</v>
      </c>
    </row>
    <row r="352" spans="1:11" ht="12.75">
      <c r="A352" s="114">
        <v>85154</v>
      </c>
      <c r="B352" s="26"/>
      <c r="C352" s="19" t="s">
        <v>87</v>
      </c>
      <c r="D352" s="92">
        <f>SUM(D354:D367)</f>
        <v>109000</v>
      </c>
      <c r="E352" s="100">
        <f>SUM(E354:E367)</f>
        <v>107190.35999999999</v>
      </c>
      <c r="F352" s="100">
        <f>SUM(F354:F367)</f>
        <v>73543.24</v>
      </c>
      <c r="G352" s="138">
        <f>SUM(G354:G367)</f>
        <v>109000</v>
      </c>
      <c r="H352" s="138">
        <f>SUM(H353:H367)</f>
        <v>84500</v>
      </c>
      <c r="I352" s="138">
        <f>SUM(I353:I367)</f>
        <v>113000</v>
      </c>
      <c r="J352" s="139">
        <f>SUM(J353:J367)</f>
        <v>93198.87999999999</v>
      </c>
      <c r="K352" s="138">
        <f>SUM(K353:K367)</f>
        <v>120000</v>
      </c>
    </row>
    <row r="353" spans="1:11" ht="42" customHeight="1">
      <c r="A353" s="114"/>
      <c r="B353" s="27">
        <v>2360</v>
      </c>
      <c r="C353" s="18" t="s">
        <v>184</v>
      </c>
      <c r="D353" s="92"/>
      <c r="E353" s="100"/>
      <c r="F353" s="100"/>
      <c r="G353" s="138"/>
      <c r="H353" s="135"/>
      <c r="I353" s="135">
        <v>24000</v>
      </c>
      <c r="J353" s="101">
        <v>18000</v>
      </c>
      <c r="K353" s="135">
        <v>24000</v>
      </c>
    </row>
    <row r="354" spans="1:11" ht="38.25">
      <c r="A354" s="114"/>
      <c r="B354" s="27">
        <v>2710</v>
      </c>
      <c r="C354" s="18" t="s">
        <v>22</v>
      </c>
      <c r="D354" s="82">
        <v>4626</v>
      </c>
      <c r="E354" s="99">
        <v>7626</v>
      </c>
      <c r="F354" s="99">
        <v>4626</v>
      </c>
      <c r="G354" s="82">
        <v>4626</v>
      </c>
      <c r="H354" s="82">
        <v>4626</v>
      </c>
      <c r="I354" s="82">
        <v>4626</v>
      </c>
      <c r="J354" s="99">
        <v>4626</v>
      </c>
      <c r="K354" s="82">
        <v>4626</v>
      </c>
    </row>
    <row r="355" spans="1:11" ht="25.5" hidden="1">
      <c r="A355" s="114"/>
      <c r="B355" s="27">
        <v>2820</v>
      </c>
      <c r="C355" s="18" t="s">
        <v>59</v>
      </c>
      <c r="D355" s="82">
        <v>24000</v>
      </c>
      <c r="E355" s="99">
        <v>24000</v>
      </c>
      <c r="F355" s="99">
        <v>24000</v>
      </c>
      <c r="G355" s="82">
        <v>24000</v>
      </c>
      <c r="H355" s="82"/>
      <c r="I355" s="82"/>
      <c r="J355" s="99"/>
      <c r="K355" s="82"/>
    </row>
    <row r="356" spans="1:11" ht="12.75" hidden="1">
      <c r="A356" s="114"/>
      <c r="B356" s="27">
        <v>3030</v>
      </c>
      <c r="C356" s="18" t="s">
        <v>34</v>
      </c>
      <c r="D356" s="82">
        <v>500</v>
      </c>
      <c r="E356" s="99">
        <v>315.41</v>
      </c>
      <c r="F356" s="99">
        <v>0</v>
      </c>
      <c r="G356" s="82">
        <v>500</v>
      </c>
      <c r="H356" s="82"/>
      <c r="I356" s="82"/>
      <c r="J356" s="99"/>
      <c r="K356" s="82"/>
    </row>
    <row r="357" spans="1:11" ht="12.75" hidden="1">
      <c r="A357" s="114"/>
      <c r="B357" s="27">
        <v>4110</v>
      </c>
      <c r="C357" s="18" t="s">
        <v>39</v>
      </c>
      <c r="D357" s="82">
        <v>1000</v>
      </c>
      <c r="E357" s="99">
        <v>0</v>
      </c>
      <c r="F357" s="99">
        <v>0</v>
      </c>
      <c r="G357" s="82">
        <v>1000</v>
      </c>
      <c r="H357" s="82">
        <v>1000</v>
      </c>
      <c r="I357" s="82"/>
      <c r="J357" s="99"/>
      <c r="K357" s="82"/>
    </row>
    <row r="358" spans="1:11" ht="12.75" hidden="1">
      <c r="A358" s="114"/>
      <c r="B358" s="27">
        <v>4120</v>
      </c>
      <c r="C358" s="18" t="s">
        <v>40</v>
      </c>
      <c r="D358" s="82">
        <v>200</v>
      </c>
      <c r="E358" s="99">
        <v>0</v>
      </c>
      <c r="F358" s="99">
        <v>0</v>
      </c>
      <c r="G358" s="82">
        <v>200</v>
      </c>
      <c r="H358" s="82">
        <v>200</v>
      </c>
      <c r="I358" s="82"/>
      <c r="J358" s="99"/>
      <c r="K358" s="82"/>
    </row>
    <row r="359" spans="1:11" ht="12.75">
      <c r="A359" s="114"/>
      <c r="B359" s="27">
        <v>4170</v>
      </c>
      <c r="C359" s="18" t="s">
        <v>42</v>
      </c>
      <c r="D359" s="82">
        <v>19300</v>
      </c>
      <c r="E359" s="99">
        <v>20369.72</v>
      </c>
      <c r="F359" s="99">
        <v>14891.1</v>
      </c>
      <c r="G359" s="82">
        <v>19300</v>
      </c>
      <c r="H359" s="82">
        <v>19300</v>
      </c>
      <c r="I359" s="82">
        <v>16800</v>
      </c>
      <c r="J359" s="99">
        <v>12978</v>
      </c>
      <c r="K359" s="82">
        <v>16800</v>
      </c>
    </row>
    <row r="360" spans="1:11" ht="12.75">
      <c r="A360" s="114"/>
      <c r="B360" s="27">
        <v>4210</v>
      </c>
      <c r="C360" s="18" t="s">
        <v>14</v>
      </c>
      <c r="D360" s="82">
        <v>21470</v>
      </c>
      <c r="E360" s="99">
        <v>15804.02</v>
      </c>
      <c r="F360" s="99">
        <v>12039.4</v>
      </c>
      <c r="G360" s="82">
        <v>21470</v>
      </c>
      <c r="H360" s="82">
        <f>21470+700+800</f>
        <v>22970</v>
      </c>
      <c r="I360" s="82">
        <v>27970</v>
      </c>
      <c r="J360" s="99">
        <v>26484.9</v>
      </c>
      <c r="K360" s="82">
        <v>31970</v>
      </c>
    </row>
    <row r="361" spans="1:11" ht="12.75">
      <c r="A361" s="114"/>
      <c r="B361" s="27">
        <v>4260</v>
      </c>
      <c r="C361" s="18" t="s">
        <v>43</v>
      </c>
      <c r="D361" s="82">
        <v>10000</v>
      </c>
      <c r="E361" s="99">
        <v>7824.81</v>
      </c>
      <c r="F361" s="99">
        <v>5494.61</v>
      </c>
      <c r="G361" s="82">
        <v>10000</v>
      </c>
      <c r="H361" s="82">
        <v>10000</v>
      </c>
      <c r="I361" s="82">
        <v>10000</v>
      </c>
      <c r="J361" s="99">
        <v>5330.58</v>
      </c>
      <c r="K361" s="82">
        <v>10000</v>
      </c>
    </row>
    <row r="362" spans="1:11" ht="12.75" hidden="1">
      <c r="A362" s="114"/>
      <c r="B362" s="27">
        <v>4270</v>
      </c>
      <c r="C362" s="18" t="s">
        <v>24</v>
      </c>
      <c r="D362" s="82">
        <v>0</v>
      </c>
      <c r="E362" s="99">
        <v>0</v>
      </c>
      <c r="F362" s="99">
        <v>0</v>
      </c>
      <c r="G362" s="82">
        <v>0</v>
      </c>
      <c r="H362" s="82">
        <v>0</v>
      </c>
      <c r="I362" s="82">
        <v>0</v>
      </c>
      <c r="J362" s="99">
        <v>0</v>
      </c>
      <c r="K362" s="82">
        <v>0</v>
      </c>
    </row>
    <row r="363" spans="1:11" ht="12.75">
      <c r="A363" s="114"/>
      <c r="B363" s="27">
        <v>4300</v>
      </c>
      <c r="C363" s="18" t="s">
        <v>15</v>
      </c>
      <c r="D363" s="82">
        <v>25214</v>
      </c>
      <c r="E363" s="99">
        <v>29748.35</v>
      </c>
      <c r="F363" s="99">
        <v>10400.97</v>
      </c>
      <c r="G363" s="82">
        <v>25214</v>
      </c>
      <c r="H363" s="82">
        <v>25214</v>
      </c>
      <c r="I363" s="82">
        <v>28414</v>
      </c>
      <c r="J363" s="99">
        <v>25006.92</v>
      </c>
      <c r="K363" s="82">
        <v>31414</v>
      </c>
    </row>
    <row r="364" spans="1:11" ht="25.5">
      <c r="A364" s="114"/>
      <c r="B364" s="27">
        <v>4370</v>
      </c>
      <c r="C364" s="18" t="s">
        <v>47</v>
      </c>
      <c r="D364" s="82">
        <v>1000</v>
      </c>
      <c r="E364" s="99">
        <v>1010.18</v>
      </c>
      <c r="F364" s="99">
        <v>758.13</v>
      </c>
      <c r="G364" s="82">
        <v>1000</v>
      </c>
      <c r="H364" s="82">
        <v>1000</v>
      </c>
      <c r="I364" s="82">
        <v>1000</v>
      </c>
      <c r="J364" s="99">
        <v>772.48</v>
      </c>
      <c r="K364" s="82">
        <v>1000</v>
      </c>
    </row>
    <row r="365" spans="1:11" ht="12.75">
      <c r="A365" s="114"/>
      <c r="B365" s="27">
        <v>4430</v>
      </c>
      <c r="C365" s="18" t="s">
        <v>16</v>
      </c>
      <c r="D365" s="93">
        <v>190</v>
      </c>
      <c r="E365" s="102">
        <v>0</v>
      </c>
      <c r="F365" s="102">
        <v>188</v>
      </c>
      <c r="G365" s="93">
        <v>190</v>
      </c>
      <c r="H365" s="93">
        <v>190</v>
      </c>
      <c r="I365" s="93">
        <v>190</v>
      </c>
      <c r="J365" s="102">
        <v>0</v>
      </c>
      <c r="K365" s="93">
        <v>190</v>
      </c>
    </row>
    <row r="366" spans="1:11" ht="25.5" hidden="1">
      <c r="A366" s="114"/>
      <c r="B366" s="27">
        <v>4740</v>
      </c>
      <c r="C366" s="18" t="s">
        <v>52</v>
      </c>
      <c r="D366" s="82">
        <v>700</v>
      </c>
      <c r="E366" s="99">
        <v>353.23</v>
      </c>
      <c r="F366" s="99">
        <v>504.08</v>
      </c>
      <c r="G366" s="82">
        <v>700</v>
      </c>
      <c r="H366" s="82"/>
      <c r="I366" s="82"/>
      <c r="J366" s="99"/>
      <c r="K366" s="82"/>
    </row>
    <row r="367" spans="1:11" ht="12.75" hidden="1">
      <c r="A367" s="114"/>
      <c r="B367" s="27">
        <v>4750</v>
      </c>
      <c r="C367" s="18" t="s">
        <v>53</v>
      </c>
      <c r="D367" s="82">
        <v>800</v>
      </c>
      <c r="E367" s="99">
        <v>138.64</v>
      </c>
      <c r="F367" s="99">
        <v>640.95</v>
      </c>
      <c r="G367" s="82">
        <v>800</v>
      </c>
      <c r="H367" s="82"/>
      <c r="I367" s="82"/>
      <c r="J367" s="99"/>
      <c r="K367" s="82"/>
    </row>
    <row r="368" spans="1:11" ht="12.75">
      <c r="A368" s="113">
        <v>852</v>
      </c>
      <c r="B368" s="89"/>
      <c r="C368" s="90" t="s">
        <v>88</v>
      </c>
      <c r="D368" s="91">
        <f aca="true" t="shared" si="44" ref="D368:J368">SUM(D369,D371,D373,D386,D389,D391,D393,D396,D418,D422)</f>
        <v>1708654</v>
      </c>
      <c r="E368" s="103">
        <f t="shared" si="44"/>
        <v>1495875.7600000002</v>
      </c>
      <c r="F368" s="103">
        <f t="shared" si="44"/>
        <v>1078982.54</v>
      </c>
      <c r="G368" s="91">
        <f t="shared" si="44"/>
        <v>1622074</v>
      </c>
      <c r="H368" s="91">
        <f t="shared" si="44"/>
        <v>1358834</v>
      </c>
      <c r="I368" s="91">
        <f t="shared" si="44"/>
        <v>1588639</v>
      </c>
      <c r="J368" s="103">
        <f t="shared" si="44"/>
        <v>1064943.3399999999</v>
      </c>
      <c r="K368" s="91">
        <f>SUM(K369,K371,K373,K386,K389,K391,K393,K396,K418,K422)</f>
        <v>1591522.4100000001</v>
      </c>
    </row>
    <row r="369" spans="1:11" ht="12.75">
      <c r="A369" s="114">
        <v>85202</v>
      </c>
      <c r="B369" s="26"/>
      <c r="C369" s="19" t="s">
        <v>89</v>
      </c>
      <c r="D369" s="92">
        <f aca="true" t="shared" si="45" ref="D369:K369">SUM(D370)</f>
        <v>140000</v>
      </c>
      <c r="E369" s="100">
        <f t="shared" si="45"/>
        <v>134988.51</v>
      </c>
      <c r="F369" s="100">
        <f t="shared" si="45"/>
        <v>112049.62</v>
      </c>
      <c r="G369" s="92">
        <f t="shared" si="45"/>
        <v>140000</v>
      </c>
      <c r="H369" s="92">
        <f t="shared" si="45"/>
        <v>140000</v>
      </c>
      <c r="I369" s="92">
        <f t="shared" si="45"/>
        <v>140000</v>
      </c>
      <c r="J369" s="100">
        <f t="shared" si="45"/>
        <v>101301.81</v>
      </c>
      <c r="K369" s="92">
        <f t="shared" si="45"/>
        <v>140000</v>
      </c>
    </row>
    <row r="370" spans="1:11" ht="25.5">
      <c r="A370" s="114"/>
      <c r="B370" s="27">
        <v>4330</v>
      </c>
      <c r="C370" s="18" t="s">
        <v>122</v>
      </c>
      <c r="D370" s="82">
        <v>140000</v>
      </c>
      <c r="E370" s="99">
        <v>134988.51</v>
      </c>
      <c r="F370" s="99">
        <v>112049.62</v>
      </c>
      <c r="G370" s="82">
        <v>140000</v>
      </c>
      <c r="H370" s="82">
        <v>140000</v>
      </c>
      <c r="I370" s="82">
        <v>140000</v>
      </c>
      <c r="J370" s="99">
        <v>101301.81</v>
      </c>
      <c r="K370" s="82">
        <v>140000</v>
      </c>
    </row>
    <row r="371" spans="1:11" ht="12.75" hidden="1">
      <c r="A371" s="114">
        <v>85205</v>
      </c>
      <c r="B371" s="26"/>
      <c r="C371" s="96" t="s">
        <v>157</v>
      </c>
      <c r="D371" s="92">
        <f aca="true" t="shared" si="46" ref="D371:K371">SUM(D372)</f>
        <v>0</v>
      </c>
      <c r="E371" s="100">
        <f t="shared" si="46"/>
        <v>0</v>
      </c>
      <c r="F371" s="100">
        <f t="shared" si="46"/>
        <v>0</v>
      </c>
      <c r="G371" s="92">
        <f t="shared" si="46"/>
        <v>0</v>
      </c>
      <c r="H371" s="92">
        <f t="shared" si="46"/>
        <v>0</v>
      </c>
      <c r="I371" s="92">
        <f t="shared" si="46"/>
        <v>0</v>
      </c>
      <c r="J371" s="100">
        <f t="shared" si="46"/>
        <v>0</v>
      </c>
      <c r="K371" s="92">
        <f t="shared" si="46"/>
        <v>0</v>
      </c>
    </row>
    <row r="372" spans="1:11" ht="34.5" customHeight="1" hidden="1">
      <c r="A372" s="114"/>
      <c r="B372" s="88">
        <v>2710</v>
      </c>
      <c r="C372" s="87" t="s">
        <v>22</v>
      </c>
      <c r="D372" s="82">
        <v>0</v>
      </c>
      <c r="E372" s="99">
        <v>0</v>
      </c>
      <c r="F372" s="99"/>
      <c r="G372" s="82">
        <v>0</v>
      </c>
      <c r="H372" s="82">
        <v>0</v>
      </c>
      <c r="I372" s="82">
        <v>0</v>
      </c>
      <c r="J372" s="99"/>
      <c r="K372" s="82">
        <v>0</v>
      </c>
    </row>
    <row r="373" spans="1:11" ht="25.5">
      <c r="A373" s="114">
        <v>85212</v>
      </c>
      <c r="B373" s="26"/>
      <c r="C373" s="19" t="s">
        <v>116</v>
      </c>
      <c r="D373" s="118">
        <f>SUM(D375:D385)</f>
        <v>41650</v>
      </c>
      <c r="E373" s="119">
        <f>SUM(E375:E385)</f>
        <v>22775.34</v>
      </c>
      <c r="F373" s="119">
        <f>SUM(F375:F385)</f>
        <v>25318.03</v>
      </c>
      <c r="G373" s="118">
        <f>SUM(G375:G385)</f>
        <v>41650</v>
      </c>
      <c r="H373" s="118">
        <f>SUM(H374:H385)</f>
        <v>44750</v>
      </c>
      <c r="I373" s="118">
        <f>SUM(I374:I385)</f>
        <v>60250</v>
      </c>
      <c r="J373" s="119">
        <f>SUM(J374:J385)</f>
        <v>25733.120000000006</v>
      </c>
      <c r="K373" s="118">
        <f>SUM(K374:K385)</f>
        <v>58658</v>
      </c>
    </row>
    <row r="374" spans="1:11" ht="51">
      <c r="A374" s="114"/>
      <c r="B374" s="27">
        <v>2910</v>
      </c>
      <c r="C374" s="18" t="s">
        <v>179</v>
      </c>
      <c r="D374" s="118"/>
      <c r="E374" s="119"/>
      <c r="F374" s="119"/>
      <c r="G374" s="118"/>
      <c r="H374" s="97"/>
      <c r="I374" s="97">
        <v>11000</v>
      </c>
      <c r="J374" s="98">
        <v>9408</v>
      </c>
      <c r="K374" s="97">
        <v>9408</v>
      </c>
    </row>
    <row r="375" spans="1:11" ht="12.75">
      <c r="A375" s="115"/>
      <c r="B375" s="27">
        <v>4010</v>
      </c>
      <c r="C375" s="18" t="s">
        <v>37</v>
      </c>
      <c r="D375" s="82">
        <f>80099-55599</f>
        <v>24500</v>
      </c>
      <c r="E375" s="99">
        <v>11635.95</v>
      </c>
      <c r="F375" s="99">
        <f>59811.77-37692.82</f>
        <v>22118.949999999997</v>
      </c>
      <c r="G375" s="82">
        <f>80099-55599</f>
        <v>24500</v>
      </c>
      <c r="H375" s="82">
        <f>80099-55599</f>
        <v>24500</v>
      </c>
      <c r="I375" s="82">
        <f>78987-54487</f>
        <v>24500</v>
      </c>
      <c r="J375" s="99">
        <f>63892.22-54619.02</f>
        <v>9273.200000000004</v>
      </c>
      <c r="K375" s="82">
        <f>78987-54487</f>
        <v>24500</v>
      </c>
    </row>
    <row r="376" spans="1:11" ht="12.75">
      <c r="A376" s="115"/>
      <c r="B376" s="27">
        <v>4110</v>
      </c>
      <c r="C376" s="18" t="s">
        <v>39</v>
      </c>
      <c r="D376" s="82">
        <f>73700-61600</f>
        <v>12100</v>
      </c>
      <c r="E376" s="99">
        <v>4553.46</v>
      </c>
      <c r="F376" s="99">
        <f>45065.91-43129.93</f>
        <v>1935.9800000000032</v>
      </c>
      <c r="G376" s="82">
        <f>73700-61600</f>
        <v>12100</v>
      </c>
      <c r="H376" s="82">
        <f>73700-61600</f>
        <v>12100</v>
      </c>
      <c r="I376" s="82">
        <f>92468-80368</f>
        <v>12100</v>
      </c>
      <c r="J376" s="99">
        <f>63750.56-62585.38</f>
        <v>1165.1800000000003</v>
      </c>
      <c r="K376" s="82">
        <f>92468-80368</f>
        <v>12100</v>
      </c>
    </row>
    <row r="377" spans="1:11" ht="12.75">
      <c r="A377" s="115"/>
      <c r="B377" s="27">
        <v>4120</v>
      </c>
      <c r="C377" s="18" t="s">
        <v>40</v>
      </c>
      <c r="D377" s="82">
        <f>2000-1300</f>
        <v>700</v>
      </c>
      <c r="E377" s="99">
        <v>439.21</v>
      </c>
      <c r="F377" s="99">
        <f>797.48-641.82</f>
        <v>155.65999999999997</v>
      </c>
      <c r="G377" s="82">
        <f>2000-1300</f>
        <v>700</v>
      </c>
      <c r="H377" s="82">
        <f>2000-1300</f>
        <v>700</v>
      </c>
      <c r="I377" s="82">
        <f>2000-1300</f>
        <v>700</v>
      </c>
      <c r="J377" s="99">
        <v>0</v>
      </c>
      <c r="K377" s="82">
        <f>2000-1300</f>
        <v>700</v>
      </c>
    </row>
    <row r="378" spans="1:11" ht="12.75">
      <c r="A378" s="115"/>
      <c r="B378" s="27">
        <v>4210</v>
      </c>
      <c r="C378" s="18" t="s">
        <v>14</v>
      </c>
      <c r="D378" s="82">
        <f>3950-2000</f>
        <v>1950</v>
      </c>
      <c r="E378" s="99">
        <v>4000</v>
      </c>
      <c r="F378" s="99">
        <f>1183.67-862.69</f>
        <v>320.98</v>
      </c>
      <c r="G378" s="82">
        <f>3950-2000</f>
        <v>1950</v>
      </c>
      <c r="H378" s="82">
        <f>3950-2000+3000+100</f>
        <v>5050</v>
      </c>
      <c r="I378" s="82">
        <f>7794-2744</f>
        <v>5050</v>
      </c>
      <c r="J378" s="99">
        <f>2718.07-1559.55</f>
        <v>1158.5200000000002</v>
      </c>
      <c r="K378" s="82">
        <f>7794-2744</f>
        <v>5050</v>
      </c>
    </row>
    <row r="379" spans="1:11" ht="12.75">
      <c r="A379" s="115"/>
      <c r="B379" s="27">
        <v>4240</v>
      </c>
      <c r="C379" s="18" t="s">
        <v>74</v>
      </c>
      <c r="D379" s="82">
        <v>300</v>
      </c>
      <c r="E379" s="99">
        <v>0</v>
      </c>
      <c r="F379" s="99">
        <v>105</v>
      </c>
      <c r="G379" s="82">
        <v>300</v>
      </c>
      <c r="H379" s="82">
        <v>300</v>
      </c>
      <c r="I379" s="82">
        <v>300</v>
      </c>
      <c r="J379" s="99">
        <v>299</v>
      </c>
      <c r="K379" s="82">
        <v>300</v>
      </c>
    </row>
    <row r="380" spans="1:11" ht="12.75">
      <c r="A380" s="115"/>
      <c r="B380" s="27">
        <v>4300</v>
      </c>
      <c r="C380" s="18" t="s">
        <v>15</v>
      </c>
      <c r="D380" s="82">
        <f>10764-9764</f>
        <v>1000</v>
      </c>
      <c r="E380" s="99">
        <v>2146.72</v>
      </c>
      <c r="F380" s="99">
        <f>4546.84-4125.38</f>
        <v>421.46000000000004</v>
      </c>
      <c r="G380" s="82">
        <f>10764-9764</f>
        <v>1000</v>
      </c>
      <c r="H380" s="82">
        <f>10764-9764</f>
        <v>1000</v>
      </c>
      <c r="I380" s="82">
        <f>10569-9569</f>
        <v>1000</v>
      </c>
      <c r="J380" s="99">
        <f>4608.42-3658.42</f>
        <v>950</v>
      </c>
      <c r="K380" s="82">
        <f>10569-9569</f>
        <v>1000</v>
      </c>
    </row>
    <row r="381" spans="1:11" ht="12.75">
      <c r="A381" s="115"/>
      <c r="B381" s="27">
        <v>4410</v>
      </c>
      <c r="C381" s="18" t="s">
        <v>48</v>
      </c>
      <c r="D381" s="82">
        <f>600-400</f>
        <v>200</v>
      </c>
      <c r="E381" s="99">
        <v>0</v>
      </c>
      <c r="F381" s="99">
        <v>0</v>
      </c>
      <c r="G381" s="82">
        <f>600-400</f>
        <v>200</v>
      </c>
      <c r="H381" s="82">
        <f>600-400</f>
        <v>200</v>
      </c>
      <c r="I381" s="82">
        <f>600-400</f>
        <v>200</v>
      </c>
      <c r="J381" s="99">
        <v>0</v>
      </c>
      <c r="K381" s="82">
        <f>600-400</f>
        <v>200</v>
      </c>
    </row>
    <row r="382" spans="1:11" ht="12.75">
      <c r="A382" s="115"/>
      <c r="B382" s="27">
        <v>4580</v>
      </c>
      <c r="C382" s="18" t="s">
        <v>140</v>
      </c>
      <c r="D382" s="82"/>
      <c r="E382" s="99"/>
      <c r="F382" s="99"/>
      <c r="G382" s="82"/>
      <c r="H382" s="82"/>
      <c r="I382" s="82">
        <v>4500</v>
      </c>
      <c r="J382" s="99">
        <v>3233.22</v>
      </c>
      <c r="K382" s="82">
        <v>4500</v>
      </c>
    </row>
    <row r="383" spans="1:11" ht="25.5">
      <c r="A383" s="115"/>
      <c r="B383" s="27">
        <v>4700</v>
      </c>
      <c r="C383" s="18" t="s">
        <v>51</v>
      </c>
      <c r="D383" s="82">
        <f>1900-1000</f>
        <v>900</v>
      </c>
      <c r="E383" s="99">
        <v>0</v>
      </c>
      <c r="F383" s="99">
        <f>860-600</f>
        <v>260</v>
      </c>
      <c r="G383" s="82">
        <f>1900-1000</f>
        <v>900</v>
      </c>
      <c r="H383" s="82">
        <f>1900-1000</f>
        <v>900</v>
      </c>
      <c r="I383" s="82">
        <f>1880-980</f>
        <v>900</v>
      </c>
      <c r="J383" s="99">
        <f>886-640</f>
        <v>246</v>
      </c>
      <c r="K383" s="82">
        <f>1880-980</f>
        <v>900</v>
      </c>
    </row>
    <row r="384" spans="1:11" ht="12.75" hidden="1">
      <c r="A384" s="114"/>
      <c r="B384" s="27"/>
      <c r="C384" s="18"/>
      <c r="D384" s="82"/>
      <c r="E384" s="99"/>
      <c r="F384" s="99"/>
      <c r="G384" s="82"/>
      <c r="H384" s="82"/>
      <c r="I384" s="82"/>
      <c r="J384" s="99"/>
      <c r="K384" s="82"/>
    </row>
    <row r="385" spans="1:11" ht="12.75" hidden="1">
      <c r="A385" s="114"/>
      <c r="B385" s="27"/>
      <c r="C385" s="18"/>
      <c r="D385" s="82"/>
      <c r="E385" s="99"/>
      <c r="F385" s="99"/>
      <c r="G385" s="82"/>
      <c r="H385" s="82"/>
      <c r="I385" s="82"/>
      <c r="J385" s="99"/>
      <c r="K385" s="82"/>
    </row>
    <row r="386" spans="1:11" ht="38.25">
      <c r="A386" s="114">
        <v>85213</v>
      </c>
      <c r="B386" s="26"/>
      <c r="C386" s="19" t="s">
        <v>117</v>
      </c>
      <c r="D386" s="92">
        <f>SUM(D388:D388)</f>
        <v>15478</v>
      </c>
      <c r="E386" s="100">
        <f>SUM(E388:E388)</f>
        <v>7759.73</v>
      </c>
      <c r="F386" s="100">
        <f>SUM(F388:F388)</f>
        <v>12453.97</v>
      </c>
      <c r="G386" s="92">
        <f>SUM(G388:G388)</f>
        <v>15478</v>
      </c>
      <c r="H386" s="92">
        <f>SUM(H387:H388)</f>
        <v>0</v>
      </c>
      <c r="I386" s="92">
        <f>SUM(I387:I388)</f>
        <v>21979</v>
      </c>
      <c r="J386" s="100">
        <f>SUM(J387:J388)</f>
        <v>16530.25</v>
      </c>
      <c r="K386" s="92">
        <f>SUM(K387:K388)</f>
        <v>23400</v>
      </c>
    </row>
    <row r="387" spans="1:11" ht="51">
      <c r="A387" s="114"/>
      <c r="B387" s="27">
        <v>2910</v>
      </c>
      <c r="C387" s="18" t="s">
        <v>179</v>
      </c>
      <c r="D387" s="92"/>
      <c r="E387" s="100"/>
      <c r="F387" s="100"/>
      <c r="G387" s="92"/>
      <c r="H387" s="92"/>
      <c r="I387" s="81">
        <v>3775</v>
      </c>
      <c r="J387" s="101">
        <v>3774.22</v>
      </c>
      <c r="K387" s="81">
        <v>3775</v>
      </c>
    </row>
    <row r="388" spans="1:11" ht="12.75">
      <c r="A388" s="115"/>
      <c r="B388" s="27">
        <v>4130</v>
      </c>
      <c r="C388" s="18" t="s">
        <v>118</v>
      </c>
      <c r="D388" s="82">
        <f>38858-23380</f>
        <v>15478</v>
      </c>
      <c r="E388" s="99">
        <v>7759.73</v>
      </c>
      <c r="F388" s="99">
        <f>27628.14-15174.17</f>
        <v>12453.97</v>
      </c>
      <c r="G388" s="82">
        <f>38858-23380</f>
        <v>15478</v>
      </c>
      <c r="H388" s="82"/>
      <c r="I388" s="82">
        <f>55710-37506</f>
        <v>18204</v>
      </c>
      <c r="J388" s="99">
        <f>36659.74-23903.71</f>
        <v>12756.029999999999</v>
      </c>
      <c r="K388" s="82">
        <v>19625</v>
      </c>
    </row>
    <row r="389" spans="1:11" ht="25.5">
      <c r="A389" s="114">
        <v>85214</v>
      </c>
      <c r="B389" s="26"/>
      <c r="C389" s="19" t="s">
        <v>158</v>
      </c>
      <c r="D389" s="92">
        <f aca="true" t="shared" si="47" ref="D389:K389">SUM(D390:D390)</f>
        <v>245743</v>
      </c>
      <c r="E389" s="100">
        <f t="shared" si="47"/>
        <v>490997.00999999995</v>
      </c>
      <c r="F389" s="100">
        <f t="shared" si="47"/>
        <v>159461.58</v>
      </c>
      <c r="G389" s="92">
        <f t="shared" si="47"/>
        <v>245743</v>
      </c>
      <c r="H389" s="92">
        <f t="shared" si="47"/>
        <v>214109</v>
      </c>
      <c r="I389" s="92">
        <f t="shared" si="47"/>
        <v>229109</v>
      </c>
      <c r="J389" s="100">
        <f t="shared" si="47"/>
        <v>143192.86</v>
      </c>
      <c r="K389" s="92">
        <f t="shared" si="47"/>
        <v>229109</v>
      </c>
    </row>
    <row r="390" spans="1:11" ht="12.75">
      <c r="A390" s="115"/>
      <c r="B390" s="27">
        <v>3110</v>
      </c>
      <c r="C390" s="18" t="s">
        <v>91</v>
      </c>
      <c r="D390" s="82">
        <v>245743</v>
      </c>
      <c r="E390" s="99">
        <f>404993.97+86003.04</f>
        <v>490997.00999999995</v>
      </c>
      <c r="F390" s="99">
        <v>159461.58</v>
      </c>
      <c r="G390" s="82">
        <v>245743</v>
      </c>
      <c r="H390" s="82">
        <f>144109+70000</f>
        <v>214109</v>
      </c>
      <c r="I390" s="82">
        <v>229109</v>
      </c>
      <c r="J390" s="99">
        <v>143192.86</v>
      </c>
      <c r="K390" s="82">
        <v>229109</v>
      </c>
    </row>
    <row r="391" spans="1:11" ht="12.75">
      <c r="A391" s="148">
        <v>85215</v>
      </c>
      <c r="B391" s="149"/>
      <c r="C391" s="137" t="s">
        <v>92</v>
      </c>
      <c r="D391" s="92">
        <f aca="true" t="shared" si="48" ref="D391:K391">SUM(D392)</f>
        <v>134580</v>
      </c>
      <c r="E391" s="100">
        <f t="shared" si="48"/>
        <v>68622.29</v>
      </c>
      <c r="F391" s="100">
        <f t="shared" si="48"/>
        <v>37057.83</v>
      </c>
      <c r="G391" s="92">
        <f t="shared" si="48"/>
        <v>50000</v>
      </c>
      <c r="H391" s="92">
        <f t="shared" si="48"/>
        <v>65000</v>
      </c>
      <c r="I391" s="92">
        <f t="shared" si="48"/>
        <v>54000</v>
      </c>
      <c r="J391" s="100">
        <f t="shared" si="48"/>
        <v>40750.01</v>
      </c>
      <c r="K391" s="92">
        <f t="shared" si="48"/>
        <v>54000</v>
      </c>
    </row>
    <row r="392" spans="1:11" ht="12.75">
      <c r="A392" s="150"/>
      <c r="B392" s="151">
        <v>3110</v>
      </c>
      <c r="C392" s="134" t="s">
        <v>91</v>
      </c>
      <c r="D392" s="82">
        <v>134580</v>
      </c>
      <c r="E392" s="99">
        <v>68622.29</v>
      </c>
      <c r="F392" s="99">
        <v>37057.83</v>
      </c>
      <c r="G392" s="82">
        <v>50000</v>
      </c>
      <c r="H392" s="82">
        <v>65000</v>
      </c>
      <c r="I392" s="82">
        <v>54000</v>
      </c>
      <c r="J392" s="99">
        <v>40750.01</v>
      </c>
      <c r="K392" s="82">
        <v>54000</v>
      </c>
    </row>
    <row r="393" spans="1:11" ht="12.75">
      <c r="A393" s="120">
        <v>85216</v>
      </c>
      <c r="B393" s="86"/>
      <c r="C393" s="19" t="s">
        <v>159</v>
      </c>
      <c r="D393" s="92">
        <f>SUM(D395)</f>
        <v>201919</v>
      </c>
      <c r="E393" s="100">
        <f>SUM(E395)</f>
        <v>0</v>
      </c>
      <c r="F393" s="100">
        <f>SUM(F395)</f>
        <v>139927.55</v>
      </c>
      <c r="G393" s="92">
        <f>SUM(G395)</f>
        <v>201919</v>
      </c>
      <c r="H393" s="92">
        <f>SUM(H394:H395)</f>
        <v>175200</v>
      </c>
      <c r="I393" s="92">
        <f>SUM(I394:I395)</f>
        <v>263037</v>
      </c>
      <c r="J393" s="100">
        <f>SUM(J394:J395)</f>
        <v>184274.34</v>
      </c>
      <c r="K393" s="92">
        <f>SUM(K394:K395)</f>
        <v>261441.41</v>
      </c>
    </row>
    <row r="394" spans="1:11" ht="51">
      <c r="A394" s="120"/>
      <c r="B394" s="27">
        <v>2910</v>
      </c>
      <c r="C394" s="18" t="s">
        <v>179</v>
      </c>
      <c r="D394" s="92"/>
      <c r="E394" s="100"/>
      <c r="F394" s="100"/>
      <c r="G394" s="92"/>
      <c r="H394" s="92"/>
      <c r="I394" s="81">
        <v>44037</v>
      </c>
      <c r="J394" s="101">
        <v>42441.41</v>
      </c>
      <c r="K394" s="81">
        <v>42441.41</v>
      </c>
    </row>
    <row r="395" spans="1:11" ht="12.75">
      <c r="A395" s="120"/>
      <c r="B395" s="27">
        <v>3110</v>
      </c>
      <c r="C395" s="18" t="s">
        <v>91</v>
      </c>
      <c r="D395" s="82">
        <v>201919</v>
      </c>
      <c r="E395" s="99">
        <v>0</v>
      </c>
      <c r="F395" s="99">
        <v>139927.55</v>
      </c>
      <c r="G395" s="82">
        <v>201919</v>
      </c>
      <c r="H395" s="82">
        <v>175200</v>
      </c>
      <c r="I395" s="82">
        <v>219000</v>
      </c>
      <c r="J395" s="99">
        <v>141832.93</v>
      </c>
      <c r="K395" s="82">
        <v>219000</v>
      </c>
    </row>
    <row r="396" spans="1:11" ht="12.75">
      <c r="A396" s="114">
        <v>85219</v>
      </c>
      <c r="B396" s="26"/>
      <c r="C396" s="19" t="s">
        <v>93</v>
      </c>
      <c r="D396" s="92">
        <f aca="true" t="shared" si="49" ref="D396:J396">SUM(D397:D417)</f>
        <v>681275</v>
      </c>
      <c r="E396" s="100">
        <f t="shared" si="49"/>
        <v>647063.4800000002</v>
      </c>
      <c r="F396" s="100">
        <f t="shared" si="49"/>
        <v>477695.05000000005</v>
      </c>
      <c r="G396" s="92">
        <f t="shared" si="49"/>
        <v>679275</v>
      </c>
      <c r="H396" s="92">
        <f t="shared" si="49"/>
        <v>674775</v>
      </c>
      <c r="I396" s="92">
        <f t="shared" si="49"/>
        <v>674775</v>
      </c>
      <c r="J396" s="100">
        <f t="shared" si="49"/>
        <v>473728.8799999999</v>
      </c>
      <c r="K396" s="92">
        <f>SUM(K397:K417)</f>
        <v>674775</v>
      </c>
    </row>
    <row r="397" spans="1:11" ht="12.75">
      <c r="A397" s="115"/>
      <c r="B397" s="27">
        <v>3020</v>
      </c>
      <c r="C397" s="18" t="s">
        <v>73</v>
      </c>
      <c r="D397" s="82">
        <v>15454</v>
      </c>
      <c r="E397" s="99">
        <v>7606.03</v>
      </c>
      <c r="F397" s="99">
        <v>1078.06</v>
      </c>
      <c r="G397" s="82">
        <v>15454</v>
      </c>
      <c r="H397" s="82">
        <v>15454</v>
      </c>
      <c r="I397" s="82">
        <v>9857</v>
      </c>
      <c r="J397" s="99">
        <v>1121.69</v>
      </c>
      <c r="K397" s="82">
        <v>9857</v>
      </c>
    </row>
    <row r="398" spans="1:11" ht="12.75">
      <c r="A398" s="115"/>
      <c r="B398" s="27">
        <v>4010</v>
      </c>
      <c r="C398" s="18" t="s">
        <v>37</v>
      </c>
      <c r="D398" s="82">
        <v>452273</v>
      </c>
      <c r="E398" s="99">
        <v>422567.4</v>
      </c>
      <c r="F398" s="99">
        <v>310951.33</v>
      </c>
      <c r="G398" s="82">
        <v>452273</v>
      </c>
      <c r="H398" s="82">
        <v>452273</v>
      </c>
      <c r="I398" s="82">
        <v>438461</v>
      </c>
      <c r="J398" s="99">
        <v>296471.06</v>
      </c>
      <c r="K398" s="82">
        <v>438461</v>
      </c>
    </row>
    <row r="399" spans="1:11" ht="12.75">
      <c r="A399" s="115"/>
      <c r="B399" s="27">
        <v>4040</v>
      </c>
      <c r="C399" s="18" t="s">
        <v>38</v>
      </c>
      <c r="D399" s="82">
        <v>32861</v>
      </c>
      <c r="E399" s="99">
        <v>30424.37</v>
      </c>
      <c r="F399" s="99">
        <v>32860.39</v>
      </c>
      <c r="G399" s="82">
        <v>32861</v>
      </c>
      <c r="H399" s="82">
        <v>32861</v>
      </c>
      <c r="I399" s="82">
        <v>37958</v>
      </c>
      <c r="J399" s="99">
        <v>37957.92</v>
      </c>
      <c r="K399" s="82">
        <v>37958</v>
      </c>
    </row>
    <row r="400" spans="1:11" ht="12.75">
      <c r="A400" s="115"/>
      <c r="B400" s="27">
        <v>4110</v>
      </c>
      <c r="C400" s="18" t="s">
        <v>39</v>
      </c>
      <c r="D400" s="82">
        <v>69420</v>
      </c>
      <c r="E400" s="99">
        <v>72922.39</v>
      </c>
      <c r="F400" s="99">
        <v>50240.8</v>
      </c>
      <c r="G400" s="82">
        <v>69420</v>
      </c>
      <c r="H400" s="82">
        <v>69420</v>
      </c>
      <c r="I400" s="82">
        <v>69420</v>
      </c>
      <c r="J400" s="99">
        <v>50736.14</v>
      </c>
      <c r="K400" s="82">
        <v>69420</v>
      </c>
    </row>
    <row r="401" spans="1:11" ht="12.75">
      <c r="A401" s="115"/>
      <c r="B401" s="27">
        <v>4120</v>
      </c>
      <c r="C401" s="18" t="s">
        <v>40</v>
      </c>
      <c r="D401" s="82">
        <v>13225</v>
      </c>
      <c r="E401" s="99">
        <v>10205.91</v>
      </c>
      <c r="F401" s="99">
        <v>6679.59</v>
      </c>
      <c r="G401" s="82">
        <v>13225</v>
      </c>
      <c r="H401" s="82">
        <v>13225</v>
      </c>
      <c r="I401" s="82">
        <v>12225</v>
      </c>
      <c r="J401" s="99">
        <v>6333.41</v>
      </c>
      <c r="K401" s="82">
        <v>12225</v>
      </c>
    </row>
    <row r="402" spans="1:11" ht="12.75">
      <c r="A402" s="115"/>
      <c r="B402" s="27">
        <v>4170</v>
      </c>
      <c r="C402" s="18" t="s">
        <v>42</v>
      </c>
      <c r="D402" s="82">
        <v>20000</v>
      </c>
      <c r="E402" s="99">
        <v>31745.1</v>
      </c>
      <c r="F402" s="99">
        <v>19492.5</v>
      </c>
      <c r="G402" s="82">
        <v>20000</v>
      </c>
      <c r="H402" s="82">
        <v>20000</v>
      </c>
      <c r="I402" s="82">
        <v>38000</v>
      </c>
      <c r="J402" s="99">
        <v>26890.73</v>
      </c>
      <c r="K402" s="82">
        <v>38000</v>
      </c>
    </row>
    <row r="403" spans="1:11" ht="12.75">
      <c r="A403" s="115"/>
      <c r="B403" s="27">
        <v>4210</v>
      </c>
      <c r="C403" s="18" t="s">
        <v>14</v>
      </c>
      <c r="D403" s="82">
        <v>4000</v>
      </c>
      <c r="E403" s="99">
        <v>3725.16</v>
      </c>
      <c r="F403" s="99">
        <v>927.97</v>
      </c>
      <c r="G403" s="82">
        <v>4000</v>
      </c>
      <c r="H403" s="82">
        <v>4500</v>
      </c>
      <c r="I403" s="82">
        <v>4500</v>
      </c>
      <c r="J403" s="99">
        <v>3566.32</v>
      </c>
      <c r="K403" s="82">
        <v>4500</v>
      </c>
    </row>
    <row r="404" spans="1:11" ht="12.75">
      <c r="A404" s="115"/>
      <c r="B404" s="27">
        <v>4240</v>
      </c>
      <c r="C404" s="18" t="s">
        <v>76</v>
      </c>
      <c r="D404" s="82">
        <v>1250</v>
      </c>
      <c r="E404" s="99">
        <v>0</v>
      </c>
      <c r="F404" s="99">
        <v>1092.9</v>
      </c>
      <c r="G404" s="82">
        <v>1250</v>
      </c>
      <c r="H404" s="82">
        <v>1250</v>
      </c>
      <c r="I404" s="82">
        <v>1750</v>
      </c>
      <c r="J404" s="99">
        <v>1661.98</v>
      </c>
      <c r="K404" s="82">
        <v>1750</v>
      </c>
    </row>
    <row r="405" spans="1:11" ht="12.75">
      <c r="A405" s="115"/>
      <c r="B405" s="27">
        <v>4260</v>
      </c>
      <c r="C405" s="18" t="s">
        <v>43</v>
      </c>
      <c r="D405" s="82">
        <v>14064</v>
      </c>
      <c r="E405" s="99">
        <v>14386.76</v>
      </c>
      <c r="F405" s="99">
        <v>10067.98</v>
      </c>
      <c r="G405" s="82">
        <v>14064</v>
      </c>
      <c r="H405" s="82">
        <v>14064</v>
      </c>
      <c r="I405" s="82">
        <v>14064</v>
      </c>
      <c r="J405" s="99">
        <v>10030.11</v>
      </c>
      <c r="K405" s="82">
        <v>14064</v>
      </c>
    </row>
    <row r="406" spans="1:11" ht="12.75" hidden="1">
      <c r="A406" s="115"/>
      <c r="B406" s="27">
        <v>4270</v>
      </c>
      <c r="C406" s="18" t="s">
        <v>24</v>
      </c>
      <c r="D406" s="82">
        <v>0</v>
      </c>
      <c r="E406" s="99">
        <v>0</v>
      </c>
      <c r="F406" s="99"/>
      <c r="G406" s="82">
        <v>0</v>
      </c>
      <c r="H406" s="82">
        <v>0</v>
      </c>
      <c r="I406" s="82">
        <v>0</v>
      </c>
      <c r="J406" s="99"/>
      <c r="K406" s="82">
        <v>0</v>
      </c>
    </row>
    <row r="407" spans="1:11" ht="12.75">
      <c r="A407" s="115"/>
      <c r="B407" s="27">
        <v>4280</v>
      </c>
      <c r="C407" s="18" t="s">
        <v>44</v>
      </c>
      <c r="D407" s="82">
        <v>500</v>
      </c>
      <c r="E407" s="99">
        <v>194</v>
      </c>
      <c r="F407" s="99">
        <v>186</v>
      </c>
      <c r="G407" s="82">
        <v>500</v>
      </c>
      <c r="H407" s="82">
        <v>500</v>
      </c>
      <c r="I407" s="82">
        <v>1000</v>
      </c>
      <c r="J407" s="99">
        <v>928</v>
      </c>
      <c r="K407" s="82">
        <v>1000</v>
      </c>
    </row>
    <row r="408" spans="1:11" ht="12.75">
      <c r="A408" s="115"/>
      <c r="B408" s="27">
        <v>4300</v>
      </c>
      <c r="C408" s="18" t="s">
        <v>15</v>
      </c>
      <c r="D408" s="82">
        <v>30000</v>
      </c>
      <c r="E408" s="99">
        <v>18982.86</v>
      </c>
      <c r="F408" s="99">
        <v>21214.79</v>
      </c>
      <c r="G408" s="82">
        <v>28000</v>
      </c>
      <c r="H408" s="82">
        <v>29000</v>
      </c>
      <c r="I408" s="82">
        <v>29000</v>
      </c>
      <c r="J408" s="99">
        <v>22584.48</v>
      </c>
      <c r="K408" s="82">
        <v>29000</v>
      </c>
    </row>
    <row r="409" spans="1:11" ht="12.75">
      <c r="A409" s="115"/>
      <c r="B409" s="27">
        <v>4350</v>
      </c>
      <c r="C409" s="18" t="s">
        <v>55</v>
      </c>
      <c r="D409" s="82">
        <v>1000</v>
      </c>
      <c r="E409" s="99">
        <v>1408.79</v>
      </c>
      <c r="F409" s="99">
        <v>580.69</v>
      </c>
      <c r="G409" s="82">
        <v>1000</v>
      </c>
      <c r="H409" s="82">
        <v>1000</v>
      </c>
      <c r="I409" s="82">
        <v>1000</v>
      </c>
      <c r="J409" s="99">
        <v>413.13</v>
      </c>
      <c r="K409" s="82">
        <v>1000</v>
      </c>
    </row>
    <row r="410" spans="1:11" ht="25.5">
      <c r="A410" s="115"/>
      <c r="B410" s="27">
        <v>4360</v>
      </c>
      <c r="C410" s="18" t="s">
        <v>46</v>
      </c>
      <c r="D410" s="82">
        <v>800</v>
      </c>
      <c r="E410" s="99">
        <v>770.81</v>
      </c>
      <c r="F410" s="99">
        <v>669.78</v>
      </c>
      <c r="G410" s="82">
        <v>800</v>
      </c>
      <c r="H410" s="82">
        <v>800</v>
      </c>
      <c r="I410" s="82">
        <v>800</v>
      </c>
      <c r="J410" s="99">
        <v>502.11</v>
      </c>
      <c r="K410" s="82">
        <v>800</v>
      </c>
    </row>
    <row r="411" spans="1:11" ht="25.5">
      <c r="A411" s="115"/>
      <c r="B411" s="27">
        <v>4370</v>
      </c>
      <c r="C411" s="18" t="s">
        <v>47</v>
      </c>
      <c r="D411" s="82">
        <v>4000</v>
      </c>
      <c r="E411" s="99">
        <v>3651.85</v>
      </c>
      <c r="F411" s="99">
        <v>3426.18</v>
      </c>
      <c r="G411" s="82">
        <v>4000</v>
      </c>
      <c r="H411" s="82">
        <v>4000</v>
      </c>
      <c r="I411" s="82">
        <v>4000</v>
      </c>
      <c r="J411" s="99">
        <v>4053.8</v>
      </c>
      <c r="K411" s="82">
        <v>4900</v>
      </c>
    </row>
    <row r="412" spans="1:11" ht="12.75">
      <c r="A412" s="115"/>
      <c r="B412" s="27">
        <v>4410</v>
      </c>
      <c r="C412" s="18" t="s">
        <v>48</v>
      </c>
      <c r="D412" s="82">
        <v>500</v>
      </c>
      <c r="E412" s="99">
        <v>219.5</v>
      </c>
      <c r="F412" s="99">
        <v>251.5</v>
      </c>
      <c r="G412" s="82">
        <v>500</v>
      </c>
      <c r="H412" s="82">
        <v>500</v>
      </c>
      <c r="I412" s="82">
        <v>500</v>
      </c>
      <c r="J412" s="99">
        <v>35</v>
      </c>
      <c r="K412" s="82">
        <v>500</v>
      </c>
    </row>
    <row r="413" spans="1:11" ht="12.75">
      <c r="A413" s="115"/>
      <c r="B413" s="27">
        <v>4430</v>
      </c>
      <c r="C413" s="18" t="s">
        <v>16</v>
      </c>
      <c r="D413" s="82">
        <v>500</v>
      </c>
      <c r="E413" s="99">
        <v>0</v>
      </c>
      <c r="F413" s="99">
        <v>271.03</v>
      </c>
      <c r="G413" s="82">
        <v>500</v>
      </c>
      <c r="H413" s="82">
        <v>500</v>
      </c>
      <c r="I413" s="82">
        <v>500</v>
      </c>
      <c r="J413" s="99">
        <v>233</v>
      </c>
      <c r="K413" s="82">
        <v>500</v>
      </c>
    </row>
    <row r="414" spans="1:11" ht="12.75">
      <c r="A414" s="115"/>
      <c r="B414" s="27">
        <v>4440</v>
      </c>
      <c r="C414" s="18" t="s">
        <v>50</v>
      </c>
      <c r="D414" s="82">
        <v>13398</v>
      </c>
      <c r="E414" s="99">
        <v>15333.92</v>
      </c>
      <c r="F414" s="99">
        <v>12336.06</v>
      </c>
      <c r="G414" s="82">
        <v>13398</v>
      </c>
      <c r="H414" s="82">
        <v>13398</v>
      </c>
      <c r="I414" s="82">
        <v>10210</v>
      </c>
      <c r="J414" s="99">
        <v>10210</v>
      </c>
      <c r="K414" s="82">
        <v>10210</v>
      </c>
    </row>
    <row r="415" spans="1:11" ht="25.5">
      <c r="A415" s="115"/>
      <c r="B415" s="27">
        <v>4700</v>
      </c>
      <c r="C415" s="18" t="s">
        <v>51</v>
      </c>
      <c r="D415" s="82">
        <v>2030</v>
      </c>
      <c r="E415" s="99">
        <v>1120</v>
      </c>
      <c r="F415" s="99">
        <v>1460</v>
      </c>
      <c r="G415" s="82">
        <v>2030</v>
      </c>
      <c r="H415" s="82">
        <v>2030</v>
      </c>
      <c r="I415" s="82">
        <v>1530</v>
      </c>
      <c r="J415" s="99">
        <v>0</v>
      </c>
      <c r="K415" s="82">
        <v>630</v>
      </c>
    </row>
    <row r="416" spans="1:11" ht="12.75" hidden="1">
      <c r="A416" s="115"/>
      <c r="B416" s="27"/>
      <c r="C416" s="18"/>
      <c r="D416" s="82">
        <v>2000</v>
      </c>
      <c r="E416" s="99">
        <v>0</v>
      </c>
      <c r="F416" s="99">
        <v>1590.52</v>
      </c>
      <c r="G416" s="82">
        <v>2000</v>
      </c>
      <c r="H416" s="82">
        <v>0</v>
      </c>
      <c r="I416" s="82"/>
      <c r="J416" s="99"/>
      <c r="K416" s="82"/>
    </row>
    <row r="417" spans="1:11" ht="12.75" hidden="1">
      <c r="A417" s="115"/>
      <c r="B417" s="27"/>
      <c r="C417" s="18"/>
      <c r="D417" s="82">
        <v>4000</v>
      </c>
      <c r="E417" s="99">
        <v>11798.63</v>
      </c>
      <c r="F417" s="99">
        <v>2316.98</v>
      </c>
      <c r="G417" s="82">
        <v>4000</v>
      </c>
      <c r="H417" s="82">
        <v>0</v>
      </c>
      <c r="I417" s="82"/>
      <c r="J417" s="99"/>
      <c r="K417" s="82"/>
    </row>
    <row r="418" spans="1:11" ht="12.75">
      <c r="A418" s="114">
        <v>85278</v>
      </c>
      <c r="B418" s="26"/>
      <c r="C418" s="19" t="s">
        <v>165</v>
      </c>
      <c r="D418" s="92">
        <f>SUM(D420:D421)</f>
        <v>107476</v>
      </c>
      <c r="E418" s="100">
        <f>SUM(E420:E421)</f>
        <v>0</v>
      </c>
      <c r="F418" s="100">
        <f>SUM(F420:F421)</f>
        <v>50399.02</v>
      </c>
      <c r="G418" s="92">
        <f>SUM(G420:G421)</f>
        <v>107476</v>
      </c>
      <c r="H418" s="92">
        <f>SUM(H420:H421)</f>
        <v>0</v>
      </c>
      <c r="I418" s="92">
        <f>SUM(I419:I421)</f>
        <v>15509</v>
      </c>
      <c r="J418" s="100">
        <f>SUM(J419:J421)</f>
        <v>15000</v>
      </c>
      <c r="K418" s="92">
        <f>SUM(K419:K421)</f>
        <v>15509</v>
      </c>
    </row>
    <row r="419" spans="1:11" ht="12.75">
      <c r="A419" s="114"/>
      <c r="B419" s="27">
        <v>3110</v>
      </c>
      <c r="C419" s="18" t="s">
        <v>91</v>
      </c>
      <c r="D419" s="82">
        <v>201919</v>
      </c>
      <c r="E419" s="99">
        <v>0</v>
      </c>
      <c r="F419" s="99">
        <v>139927.55</v>
      </c>
      <c r="G419" s="82">
        <v>201919</v>
      </c>
      <c r="H419" s="82">
        <v>175200</v>
      </c>
      <c r="I419" s="82">
        <v>15000</v>
      </c>
      <c r="J419" s="99">
        <v>15000</v>
      </c>
      <c r="K419" s="82">
        <v>15000</v>
      </c>
    </row>
    <row r="420" spans="1:11" ht="12.75">
      <c r="A420" s="115"/>
      <c r="B420" s="27">
        <v>4210</v>
      </c>
      <c r="C420" s="18" t="s">
        <v>14</v>
      </c>
      <c r="D420" s="82">
        <v>52276</v>
      </c>
      <c r="E420" s="99">
        <v>0</v>
      </c>
      <c r="F420" s="99">
        <v>0</v>
      </c>
      <c r="G420" s="82">
        <v>52276</v>
      </c>
      <c r="H420" s="82"/>
      <c r="I420" s="82">
        <v>509</v>
      </c>
      <c r="J420" s="99">
        <v>0</v>
      </c>
      <c r="K420" s="82">
        <v>509</v>
      </c>
    </row>
    <row r="421" spans="1:11" ht="12.75" hidden="1">
      <c r="A421" s="115"/>
      <c r="B421" s="27">
        <v>4300</v>
      </c>
      <c r="C421" s="18" t="s">
        <v>15</v>
      </c>
      <c r="D421" s="82">
        <v>55200</v>
      </c>
      <c r="E421" s="99">
        <v>0</v>
      </c>
      <c r="F421" s="99">
        <v>50399.02</v>
      </c>
      <c r="G421" s="82">
        <v>55200</v>
      </c>
      <c r="H421" s="82"/>
      <c r="I421" s="82"/>
      <c r="J421" s="99"/>
      <c r="K421" s="82"/>
    </row>
    <row r="422" spans="1:11" ht="12.75">
      <c r="A422" s="114">
        <v>85295</v>
      </c>
      <c r="B422" s="26"/>
      <c r="C422" s="19" t="s">
        <v>13</v>
      </c>
      <c r="D422" s="92">
        <f>SUM(D424:D425)</f>
        <v>140533</v>
      </c>
      <c r="E422" s="100">
        <f>SUM(E424:E425)</f>
        <v>123669.4</v>
      </c>
      <c r="F422" s="100">
        <f>SUM(F424:F425)</f>
        <v>64619.89</v>
      </c>
      <c r="G422" s="92">
        <f>SUM(G424:G425)</f>
        <v>140533</v>
      </c>
      <c r="H422" s="92">
        <f>SUM(H423:H425)</f>
        <v>45000</v>
      </c>
      <c r="I422" s="92">
        <f>SUM(I423:I426)</f>
        <v>129980</v>
      </c>
      <c r="J422" s="100">
        <f>SUM(J423:J426)</f>
        <v>64432.07</v>
      </c>
      <c r="K422" s="92">
        <f>SUM(K423:K426)</f>
        <v>134630</v>
      </c>
    </row>
    <row r="423" spans="1:11" ht="39" customHeight="1">
      <c r="A423" s="114"/>
      <c r="B423" s="27">
        <v>2360</v>
      </c>
      <c r="C423" s="18" t="s">
        <v>184</v>
      </c>
      <c r="D423" s="92"/>
      <c r="E423" s="100"/>
      <c r="F423" s="100"/>
      <c r="G423" s="138"/>
      <c r="H423" s="135"/>
      <c r="I423" s="135">
        <v>3000</v>
      </c>
      <c r="J423" s="101">
        <v>3000</v>
      </c>
      <c r="K423" s="135">
        <v>3000</v>
      </c>
    </row>
    <row r="424" spans="1:11" s="13" customFormat="1" ht="51">
      <c r="A424" s="117"/>
      <c r="B424" s="27">
        <v>2910</v>
      </c>
      <c r="C424" s="18" t="s">
        <v>179</v>
      </c>
      <c r="D424" s="82">
        <v>6500</v>
      </c>
      <c r="E424" s="99">
        <v>3000</v>
      </c>
      <c r="F424" s="99">
        <v>0</v>
      </c>
      <c r="G424" s="82">
        <v>6500</v>
      </c>
      <c r="H424" s="82">
        <v>3000</v>
      </c>
      <c r="I424" s="82">
        <v>2167</v>
      </c>
      <c r="J424" s="99">
        <v>2166.36</v>
      </c>
      <c r="K424" s="82">
        <v>2167</v>
      </c>
    </row>
    <row r="425" spans="1:11" ht="15" customHeight="1">
      <c r="A425" s="115"/>
      <c r="B425" s="27">
        <v>3110</v>
      </c>
      <c r="C425" s="18" t="s">
        <v>91</v>
      </c>
      <c r="D425" s="82">
        <v>134033</v>
      </c>
      <c r="E425" s="99">
        <v>120669.4</v>
      </c>
      <c r="F425" s="102">
        <v>64619.89</v>
      </c>
      <c r="G425" s="82">
        <v>134033</v>
      </c>
      <c r="H425" s="82">
        <f>30000+12000</f>
        <v>42000</v>
      </c>
      <c r="I425" s="82">
        <v>124753</v>
      </c>
      <c r="J425" s="102">
        <v>59206.44</v>
      </c>
      <c r="K425" s="82">
        <v>129403</v>
      </c>
    </row>
    <row r="426" spans="1:11" ht="54.75" customHeight="1">
      <c r="A426" s="115"/>
      <c r="B426" s="27">
        <v>4560</v>
      </c>
      <c r="C426" s="18" t="s">
        <v>172</v>
      </c>
      <c r="D426" s="82">
        <v>800</v>
      </c>
      <c r="E426" s="99">
        <v>770.81</v>
      </c>
      <c r="F426" s="99">
        <v>669.78</v>
      </c>
      <c r="G426" s="82">
        <v>800</v>
      </c>
      <c r="H426" s="82">
        <v>800</v>
      </c>
      <c r="I426" s="82">
        <v>60</v>
      </c>
      <c r="J426" s="99">
        <v>59.27</v>
      </c>
      <c r="K426" s="82">
        <v>60</v>
      </c>
    </row>
    <row r="427" spans="1:11" ht="12.75">
      <c r="A427" s="113">
        <v>854</v>
      </c>
      <c r="B427" s="89"/>
      <c r="C427" s="90" t="s">
        <v>94</v>
      </c>
      <c r="D427" s="91">
        <f aca="true" t="shared" si="50" ref="D427:J427">SUM(D428+D445)</f>
        <v>351482</v>
      </c>
      <c r="E427" s="103">
        <f t="shared" si="50"/>
        <v>379643.24</v>
      </c>
      <c r="F427" s="103">
        <f t="shared" si="50"/>
        <v>253134.76</v>
      </c>
      <c r="G427" s="91">
        <f t="shared" si="50"/>
        <v>369539</v>
      </c>
      <c r="H427" s="91">
        <f t="shared" si="50"/>
        <v>237394</v>
      </c>
      <c r="I427" s="91">
        <f t="shared" si="50"/>
        <v>344450</v>
      </c>
      <c r="J427" s="103">
        <f t="shared" si="50"/>
        <v>267448.09</v>
      </c>
      <c r="K427" s="91">
        <f>SUM(K428+K445)</f>
        <v>448575</v>
      </c>
    </row>
    <row r="428" spans="1:11" ht="12.75">
      <c r="A428" s="114">
        <v>85401</v>
      </c>
      <c r="B428" s="26"/>
      <c r="C428" s="19" t="s">
        <v>95</v>
      </c>
      <c r="D428" s="92">
        <f aca="true" t="shared" si="51" ref="D428:J428">SUM(D429:D444)</f>
        <v>177024</v>
      </c>
      <c r="E428" s="100">
        <f t="shared" si="51"/>
        <v>181390.5</v>
      </c>
      <c r="F428" s="100">
        <f t="shared" si="51"/>
        <v>115887.96</v>
      </c>
      <c r="G428" s="92">
        <f t="shared" si="51"/>
        <v>195081</v>
      </c>
      <c r="H428" s="92">
        <f t="shared" si="51"/>
        <v>237394</v>
      </c>
      <c r="I428" s="92">
        <f t="shared" si="51"/>
        <v>200463</v>
      </c>
      <c r="J428" s="100">
        <f t="shared" si="51"/>
        <v>128428.09000000001</v>
      </c>
      <c r="K428" s="92">
        <f>SUM(K429:K444)</f>
        <v>201563</v>
      </c>
    </row>
    <row r="429" spans="1:11" ht="12.75">
      <c r="A429" s="115"/>
      <c r="B429" s="27">
        <v>3020</v>
      </c>
      <c r="C429" s="18" t="s">
        <v>73</v>
      </c>
      <c r="D429" s="82">
        <v>14152</v>
      </c>
      <c r="E429" s="99">
        <v>12972.56</v>
      </c>
      <c r="F429" s="99">
        <v>10123.35</v>
      </c>
      <c r="G429" s="82">
        <v>14024</v>
      </c>
      <c r="H429" s="82">
        <v>15490</v>
      </c>
      <c r="I429" s="82">
        <v>16257</v>
      </c>
      <c r="J429" s="99">
        <v>10404.06</v>
      </c>
      <c r="K429" s="82">
        <v>16257</v>
      </c>
    </row>
    <row r="430" spans="1:11" ht="12.75">
      <c r="A430" s="115"/>
      <c r="B430" s="27">
        <v>4010</v>
      </c>
      <c r="C430" s="18" t="s">
        <v>37</v>
      </c>
      <c r="D430" s="82">
        <v>112527</v>
      </c>
      <c r="E430" s="99">
        <v>125846.42</v>
      </c>
      <c r="F430" s="99">
        <v>75035.31</v>
      </c>
      <c r="G430" s="82">
        <v>130712</v>
      </c>
      <c r="H430" s="82">
        <v>165199</v>
      </c>
      <c r="I430" s="82">
        <v>127561</v>
      </c>
      <c r="J430" s="99">
        <v>85750.05</v>
      </c>
      <c r="K430" s="82">
        <v>127561</v>
      </c>
    </row>
    <row r="431" spans="1:11" ht="12.75">
      <c r="A431" s="115"/>
      <c r="B431" s="27">
        <v>4040</v>
      </c>
      <c r="C431" s="18" t="s">
        <v>38</v>
      </c>
      <c r="D431" s="82">
        <v>5070</v>
      </c>
      <c r="E431" s="99">
        <v>5825.56</v>
      </c>
      <c r="F431" s="99">
        <v>5067.76</v>
      </c>
      <c r="G431" s="82">
        <v>5070</v>
      </c>
      <c r="H431" s="82">
        <v>7178</v>
      </c>
      <c r="I431" s="82">
        <v>8178</v>
      </c>
      <c r="J431" s="99">
        <v>8085.43</v>
      </c>
      <c r="K431" s="82">
        <v>8178</v>
      </c>
    </row>
    <row r="432" spans="1:11" ht="12.75">
      <c r="A432" s="115"/>
      <c r="B432" s="27">
        <v>4110</v>
      </c>
      <c r="C432" s="18" t="s">
        <v>39</v>
      </c>
      <c r="D432" s="82">
        <v>24778</v>
      </c>
      <c r="E432" s="99">
        <v>20487.52</v>
      </c>
      <c r="F432" s="99">
        <v>15123.52</v>
      </c>
      <c r="G432" s="82">
        <v>24778</v>
      </c>
      <c r="H432" s="82">
        <v>27276</v>
      </c>
      <c r="I432" s="82">
        <v>26720</v>
      </c>
      <c r="J432" s="99">
        <v>9179.25</v>
      </c>
      <c r="K432" s="82">
        <v>26720</v>
      </c>
    </row>
    <row r="433" spans="1:11" ht="12.75">
      <c r="A433" s="115"/>
      <c r="B433" s="27">
        <v>4120</v>
      </c>
      <c r="C433" s="18" t="s">
        <v>40</v>
      </c>
      <c r="D433" s="82">
        <v>3779</v>
      </c>
      <c r="E433" s="99">
        <v>3366.67</v>
      </c>
      <c r="F433" s="99">
        <v>2077.91</v>
      </c>
      <c r="G433" s="82">
        <v>3779</v>
      </c>
      <c r="H433" s="82">
        <v>4215</v>
      </c>
      <c r="I433" s="82">
        <v>3711</v>
      </c>
      <c r="J433" s="99">
        <v>2029.62</v>
      </c>
      <c r="K433" s="82">
        <v>3711</v>
      </c>
    </row>
    <row r="434" spans="1:11" ht="12.75" hidden="1">
      <c r="A434" s="115"/>
      <c r="B434" s="27">
        <v>4170</v>
      </c>
      <c r="C434" s="18" t="s">
        <v>42</v>
      </c>
      <c r="D434" s="82">
        <v>0</v>
      </c>
      <c r="E434" s="99">
        <v>0</v>
      </c>
      <c r="F434" s="99">
        <v>727.61</v>
      </c>
      <c r="G434" s="82">
        <v>0</v>
      </c>
      <c r="H434" s="82">
        <v>0</v>
      </c>
      <c r="I434" s="82">
        <v>0</v>
      </c>
      <c r="J434" s="99">
        <v>0</v>
      </c>
      <c r="K434" s="82">
        <v>0</v>
      </c>
    </row>
    <row r="435" spans="1:11" ht="12.75">
      <c r="A435" s="115"/>
      <c r="B435" s="27">
        <v>4210</v>
      </c>
      <c r="C435" s="18" t="s">
        <v>14</v>
      </c>
      <c r="D435" s="82">
        <v>3500</v>
      </c>
      <c r="E435" s="99">
        <v>2721.68</v>
      </c>
      <c r="F435" s="99">
        <v>639.5</v>
      </c>
      <c r="G435" s="82">
        <v>3500</v>
      </c>
      <c r="H435" s="82">
        <v>3500</v>
      </c>
      <c r="I435" s="82">
        <v>3500</v>
      </c>
      <c r="J435" s="99">
        <v>2422.09</v>
      </c>
      <c r="K435" s="82">
        <v>3500</v>
      </c>
    </row>
    <row r="436" spans="1:11" ht="12.75">
      <c r="A436" s="115"/>
      <c r="B436" s="27">
        <v>4240</v>
      </c>
      <c r="C436" s="18" t="s">
        <v>76</v>
      </c>
      <c r="D436" s="82">
        <v>3000</v>
      </c>
      <c r="E436" s="99">
        <v>2983.09</v>
      </c>
      <c r="F436" s="99">
        <v>0</v>
      </c>
      <c r="G436" s="82">
        <v>3000</v>
      </c>
      <c r="H436" s="82">
        <v>3000</v>
      </c>
      <c r="I436" s="82">
        <v>3000</v>
      </c>
      <c r="J436" s="99">
        <v>1241.52</v>
      </c>
      <c r="K436" s="82">
        <v>3000</v>
      </c>
    </row>
    <row r="437" spans="1:11" ht="12.75">
      <c r="A437" s="115"/>
      <c r="B437" s="27">
        <v>4260</v>
      </c>
      <c r="C437" s="18" t="s">
        <v>43</v>
      </c>
      <c r="D437" s="82">
        <v>750</v>
      </c>
      <c r="E437" s="99">
        <v>0</v>
      </c>
      <c r="F437" s="99">
        <v>0</v>
      </c>
      <c r="G437" s="82">
        <v>750</v>
      </c>
      <c r="H437" s="82">
        <v>750</v>
      </c>
      <c r="I437" s="82">
        <v>750</v>
      </c>
      <c r="J437" s="99">
        <v>750</v>
      </c>
      <c r="K437" s="82">
        <v>2950</v>
      </c>
    </row>
    <row r="438" spans="1:11" ht="12.75">
      <c r="A438" s="115"/>
      <c r="B438" s="27">
        <v>4270</v>
      </c>
      <c r="C438" s="18" t="s">
        <v>24</v>
      </c>
      <c r="D438" s="82">
        <v>500</v>
      </c>
      <c r="E438" s="99">
        <v>0</v>
      </c>
      <c r="F438" s="99">
        <v>0</v>
      </c>
      <c r="G438" s="82">
        <v>500</v>
      </c>
      <c r="H438" s="82">
        <v>500</v>
      </c>
      <c r="I438" s="82">
        <v>500</v>
      </c>
      <c r="J438" s="99">
        <v>0</v>
      </c>
      <c r="K438" s="82">
        <v>500</v>
      </c>
    </row>
    <row r="439" spans="1:11" ht="12.75">
      <c r="A439" s="115"/>
      <c r="B439" s="27">
        <v>4280</v>
      </c>
      <c r="C439" s="18" t="s">
        <v>44</v>
      </c>
      <c r="D439" s="82">
        <v>500</v>
      </c>
      <c r="E439" s="99">
        <v>0</v>
      </c>
      <c r="F439" s="99">
        <v>0</v>
      </c>
      <c r="G439" s="82">
        <v>500</v>
      </c>
      <c r="H439" s="82">
        <v>500</v>
      </c>
      <c r="I439" s="82">
        <v>500</v>
      </c>
      <c r="J439" s="99">
        <v>0</v>
      </c>
      <c r="K439" s="82">
        <v>300</v>
      </c>
    </row>
    <row r="440" spans="1:11" ht="12.75">
      <c r="A440" s="115"/>
      <c r="B440" s="27">
        <v>4300</v>
      </c>
      <c r="C440" s="18" t="s">
        <v>15</v>
      </c>
      <c r="D440" s="82">
        <v>700</v>
      </c>
      <c r="E440" s="99">
        <v>0</v>
      </c>
      <c r="F440" s="99">
        <v>25</v>
      </c>
      <c r="G440" s="82">
        <v>700</v>
      </c>
      <c r="H440" s="82">
        <v>700</v>
      </c>
      <c r="I440" s="82">
        <v>700</v>
      </c>
      <c r="J440" s="99">
        <v>180.07</v>
      </c>
      <c r="K440" s="82">
        <v>300</v>
      </c>
    </row>
    <row r="441" spans="1:11" ht="12.75">
      <c r="A441" s="115"/>
      <c r="B441" s="27">
        <v>4410</v>
      </c>
      <c r="C441" s="18" t="s">
        <v>48</v>
      </c>
      <c r="D441" s="82">
        <v>700</v>
      </c>
      <c r="E441" s="99">
        <v>0</v>
      </c>
      <c r="F441" s="99">
        <v>0</v>
      </c>
      <c r="G441" s="82">
        <v>700</v>
      </c>
      <c r="H441" s="82">
        <v>700</v>
      </c>
      <c r="I441" s="82">
        <v>700</v>
      </c>
      <c r="J441" s="99">
        <v>0</v>
      </c>
      <c r="K441" s="82">
        <v>200</v>
      </c>
    </row>
    <row r="442" spans="1:11" ht="12.75">
      <c r="A442" s="115"/>
      <c r="B442" s="27">
        <v>4440</v>
      </c>
      <c r="C442" s="18" t="s">
        <v>50</v>
      </c>
      <c r="D442" s="82">
        <v>7068</v>
      </c>
      <c r="E442" s="99">
        <v>7187</v>
      </c>
      <c r="F442" s="99">
        <v>7068</v>
      </c>
      <c r="G442" s="82">
        <v>7068</v>
      </c>
      <c r="H442" s="82">
        <v>8386</v>
      </c>
      <c r="I442" s="82">
        <v>8386</v>
      </c>
      <c r="J442" s="99">
        <v>8386</v>
      </c>
      <c r="K442" s="82">
        <v>8386</v>
      </c>
    </row>
    <row r="443" spans="1:11" ht="12.75" hidden="1">
      <c r="A443" s="115"/>
      <c r="B443" s="27"/>
      <c r="C443" s="18"/>
      <c r="D443" s="82"/>
      <c r="E443" s="99"/>
      <c r="F443" s="99"/>
      <c r="G443" s="82"/>
      <c r="H443" s="82"/>
      <c r="I443" s="82"/>
      <c r="J443" s="99"/>
      <c r="K443" s="82"/>
    </row>
    <row r="444" spans="1:11" ht="12.75" hidden="1">
      <c r="A444" s="115"/>
      <c r="B444" s="145">
        <v>6060</v>
      </c>
      <c r="C444" s="18" t="s">
        <v>61</v>
      </c>
      <c r="D444" s="82">
        <v>0</v>
      </c>
      <c r="E444" s="99">
        <v>0</v>
      </c>
      <c r="F444" s="99">
        <v>0</v>
      </c>
      <c r="G444" s="82">
        <v>0</v>
      </c>
      <c r="H444" s="82">
        <v>0</v>
      </c>
      <c r="I444" s="82">
        <v>0</v>
      </c>
      <c r="J444" s="99">
        <v>0</v>
      </c>
      <c r="K444" s="82">
        <v>0</v>
      </c>
    </row>
    <row r="445" spans="1:11" ht="12.75">
      <c r="A445" s="114">
        <v>85415</v>
      </c>
      <c r="B445" s="26"/>
      <c r="C445" s="19" t="s">
        <v>146</v>
      </c>
      <c r="D445" s="95">
        <f aca="true" t="shared" si="52" ref="D445:J445">D446+D447</f>
        <v>174458</v>
      </c>
      <c r="E445" s="104">
        <f t="shared" si="52"/>
        <v>198252.74</v>
      </c>
      <c r="F445" s="104">
        <f t="shared" si="52"/>
        <v>137246.8</v>
      </c>
      <c r="G445" s="95">
        <f t="shared" si="52"/>
        <v>174458</v>
      </c>
      <c r="H445" s="95">
        <f t="shared" si="52"/>
        <v>0</v>
      </c>
      <c r="I445" s="95">
        <f t="shared" si="52"/>
        <v>143987</v>
      </c>
      <c r="J445" s="104">
        <f t="shared" si="52"/>
        <v>139020</v>
      </c>
      <c r="K445" s="95">
        <f>K446+K447</f>
        <v>247012</v>
      </c>
    </row>
    <row r="446" spans="1:11" ht="12.75">
      <c r="A446" s="114"/>
      <c r="B446" s="27">
        <v>3240</v>
      </c>
      <c r="C446" s="18" t="s">
        <v>147</v>
      </c>
      <c r="D446" s="82">
        <v>121270</v>
      </c>
      <c r="E446" s="99">
        <v>176670</v>
      </c>
      <c r="F446" s="99">
        <v>115246.8</v>
      </c>
      <c r="G446" s="93">
        <v>121270</v>
      </c>
      <c r="H446" s="82">
        <v>0</v>
      </c>
      <c r="I446" s="82">
        <v>120747</v>
      </c>
      <c r="J446" s="99">
        <v>115780</v>
      </c>
      <c r="K446" s="82">
        <v>223772</v>
      </c>
    </row>
    <row r="447" spans="1:11" ht="12.75">
      <c r="A447" s="114"/>
      <c r="B447" s="27">
        <v>3260</v>
      </c>
      <c r="C447" s="18" t="s">
        <v>153</v>
      </c>
      <c r="D447" s="82">
        <v>53188</v>
      </c>
      <c r="E447" s="99">
        <v>21582.74</v>
      </c>
      <c r="F447" s="99">
        <v>22000</v>
      </c>
      <c r="G447" s="93">
        <v>53188</v>
      </c>
      <c r="H447" s="82">
        <v>0</v>
      </c>
      <c r="I447" s="82">
        <v>23240</v>
      </c>
      <c r="J447" s="99">
        <v>23240</v>
      </c>
      <c r="K447" s="82">
        <v>23240</v>
      </c>
    </row>
    <row r="448" spans="1:11" ht="12.75">
      <c r="A448" s="113">
        <v>900</v>
      </c>
      <c r="B448" s="89"/>
      <c r="C448" s="90" t="s">
        <v>96</v>
      </c>
      <c r="D448" s="91">
        <f aca="true" t="shared" si="53" ref="D448:J448">SUM(D449,D454,D459,D464,D472,D467,D477,D482,D484)</f>
        <v>2027480</v>
      </c>
      <c r="E448" s="103">
        <f t="shared" si="53"/>
        <v>1143913.25</v>
      </c>
      <c r="F448" s="103">
        <f t="shared" si="53"/>
        <v>1048045.2799999999</v>
      </c>
      <c r="G448" s="91">
        <f t="shared" si="53"/>
        <v>1325337</v>
      </c>
      <c r="H448" s="91">
        <f t="shared" si="53"/>
        <v>821723</v>
      </c>
      <c r="I448" s="91">
        <f t="shared" si="53"/>
        <v>958164</v>
      </c>
      <c r="J448" s="103">
        <f t="shared" si="53"/>
        <v>776687.41</v>
      </c>
      <c r="K448" s="91">
        <f>SUM(K449,K454,K459,K464,K472,K467,K477,K482,K484)</f>
        <v>958164</v>
      </c>
    </row>
    <row r="449" spans="1:11" ht="12.75">
      <c r="A449" s="114">
        <v>90001</v>
      </c>
      <c r="B449" s="26"/>
      <c r="C449" s="19" t="s">
        <v>125</v>
      </c>
      <c r="D449" s="92">
        <f aca="true" t="shared" si="54" ref="D449:J449">SUM(D450:D453)</f>
        <v>1000</v>
      </c>
      <c r="E449" s="100">
        <f t="shared" si="54"/>
        <v>30282.239999999998</v>
      </c>
      <c r="F449" s="100">
        <f t="shared" si="54"/>
        <v>0</v>
      </c>
      <c r="G449" s="100">
        <f t="shared" si="54"/>
        <v>0</v>
      </c>
      <c r="H449" s="92">
        <f t="shared" si="54"/>
        <v>1000</v>
      </c>
      <c r="I449" s="92">
        <f t="shared" si="54"/>
        <v>7200</v>
      </c>
      <c r="J449" s="100">
        <f t="shared" si="54"/>
        <v>750.48</v>
      </c>
      <c r="K449" s="92">
        <f>SUM(K450:K453)</f>
        <v>7200</v>
      </c>
    </row>
    <row r="450" spans="1:11" ht="12.75">
      <c r="A450" s="114"/>
      <c r="B450" s="27">
        <v>4210</v>
      </c>
      <c r="C450" s="18" t="s">
        <v>14</v>
      </c>
      <c r="D450" s="82">
        <v>0</v>
      </c>
      <c r="E450" s="99">
        <v>6434.94</v>
      </c>
      <c r="F450" s="99">
        <v>0</v>
      </c>
      <c r="G450" s="82"/>
      <c r="H450" s="82">
        <v>0</v>
      </c>
      <c r="I450" s="82">
        <v>1200</v>
      </c>
      <c r="J450" s="99">
        <v>0</v>
      </c>
      <c r="K450" s="82">
        <v>1200</v>
      </c>
    </row>
    <row r="451" spans="1:11" ht="12.75">
      <c r="A451" s="114"/>
      <c r="B451" s="27">
        <v>4300</v>
      </c>
      <c r="C451" s="18" t="s">
        <v>15</v>
      </c>
      <c r="D451" s="82">
        <v>1000</v>
      </c>
      <c r="E451" s="99">
        <v>2892.38</v>
      </c>
      <c r="F451" s="99">
        <v>0</v>
      </c>
      <c r="G451" s="82">
        <v>0</v>
      </c>
      <c r="H451" s="82">
        <v>1000</v>
      </c>
      <c r="I451" s="82">
        <v>6000</v>
      </c>
      <c r="J451" s="99">
        <v>750.48</v>
      </c>
      <c r="K451" s="82">
        <v>6000</v>
      </c>
    </row>
    <row r="452" spans="1:11" ht="12.75" hidden="1">
      <c r="A452" s="114"/>
      <c r="B452" s="27">
        <v>4580</v>
      </c>
      <c r="C452" s="18" t="s">
        <v>140</v>
      </c>
      <c r="D452" s="82">
        <v>0</v>
      </c>
      <c r="E452" s="99">
        <v>0</v>
      </c>
      <c r="F452" s="99">
        <v>0</v>
      </c>
      <c r="G452" s="82"/>
      <c r="H452" s="82">
        <v>0</v>
      </c>
      <c r="I452" s="82">
        <v>0</v>
      </c>
      <c r="J452" s="99">
        <v>0</v>
      </c>
      <c r="K452" s="82">
        <v>0</v>
      </c>
    </row>
    <row r="453" spans="1:11" ht="12.75" hidden="1">
      <c r="A453" s="114"/>
      <c r="B453" s="27">
        <v>6060</v>
      </c>
      <c r="C453" s="18" t="s">
        <v>61</v>
      </c>
      <c r="D453" s="82">
        <v>0</v>
      </c>
      <c r="E453" s="99">
        <v>20954.92</v>
      </c>
      <c r="F453" s="99">
        <v>0</v>
      </c>
      <c r="G453" s="82"/>
      <c r="H453" s="82">
        <v>0</v>
      </c>
      <c r="I453" s="82">
        <v>0</v>
      </c>
      <c r="J453" s="99">
        <v>0</v>
      </c>
      <c r="K453" s="82">
        <v>0</v>
      </c>
    </row>
    <row r="454" spans="1:11" ht="12.75">
      <c r="A454" s="114">
        <v>90002</v>
      </c>
      <c r="B454" s="26"/>
      <c r="C454" s="19" t="s">
        <v>97</v>
      </c>
      <c r="D454" s="92">
        <f aca="true" t="shared" si="55" ref="D454:J454">SUM(D455:D458)</f>
        <v>166100</v>
      </c>
      <c r="E454" s="100">
        <f t="shared" si="55"/>
        <v>90722.31</v>
      </c>
      <c r="F454" s="100">
        <f t="shared" si="55"/>
        <v>84415</v>
      </c>
      <c r="G454" s="92">
        <f t="shared" si="55"/>
        <v>106700</v>
      </c>
      <c r="H454" s="92">
        <f t="shared" si="55"/>
        <v>87700</v>
      </c>
      <c r="I454" s="92">
        <f t="shared" si="55"/>
        <v>110292</v>
      </c>
      <c r="J454" s="100">
        <f t="shared" si="55"/>
        <v>89885.63</v>
      </c>
      <c r="K454" s="92">
        <f>SUM(K455:K458)</f>
        <v>110292</v>
      </c>
    </row>
    <row r="455" spans="1:11" ht="12.75">
      <c r="A455" s="114"/>
      <c r="B455" s="27">
        <v>4210</v>
      </c>
      <c r="C455" s="18" t="s">
        <v>14</v>
      </c>
      <c r="D455" s="81">
        <v>700</v>
      </c>
      <c r="E455" s="101">
        <v>0</v>
      </c>
      <c r="F455" s="101">
        <v>699</v>
      </c>
      <c r="G455" s="81">
        <v>700</v>
      </c>
      <c r="H455" s="81">
        <f>700+3800</f>
        <v>4500</v>
      </c>
      <c r="I455" s="81">
        <f>700+3800</f>
        <v>4500</v>
      </c>
      <c r="J455" s="101">
        <v>0</v>
      </c>
      <c r="K455" s="81">
        <f>700+3800</f>
        <v>4500</v>
      </c>
    </row>
    <row r="456" spans="1:11" ht="12.75">
      <c r="A456" s="114"/>
      <c r="B456" s="27">
        <v>4300</v>
      </c>
      <c r="C456" s="18" t="s">
        <v>15</v>
      </c>
      <c r="D456" s="82">
        <v>113800</v>
      </c>
      <c r="E456" s="99">
        <v>82347.31</v>
      </c>
      <c r="F456" s="99">
        <v>63107</v>
      </c>
      <c r="G456" s="93">
        <v>85000</v>
      </c>
      <c r="H456" s="82">
        <v>83200</v>
      </c>
      <c r="I456" s="82">
        <v>100792</v>
      </c>
      <c r="J456" s="99">
        <v>84885.63</v>
      </c>
      <c r="K456" s="82">
        <v>100792</v>
      </c>
    </row>
    <row r="457" spans="1:11" ht="12.75">
      <c r="A457" s="114"/>
      <c r="B457" s="27">
        <v>6010</v>
      </c>
      <c r="C457" s="18" t="s">
        <v>186</v>
      </c>
      <c r="D457" s="82"/>
      <c r="E457" s="99"/>
      <c r="F457" s="99"/>
      <c r="G457" s="93"/>
      <c r="H457" s="82"/>
      <c r="I457" s="82">
        <v>5000</v>
      </c>
      <c r="J457" s="99">
        <v>5000</v>
      </c>
      <c r="K457" s="82">
        <v>5000</v>
      </c>
    </row>
    <row r="458" spans="1:11" ht="39.75" customHeight="1">
      <c r="A458" s="150"/>
      <c r="B458" s="153">
        <v>6659</v>
      </c>
      <c r="C458" s="134" t="s">
        <v>8</v>
      </c>
      <c r="D458" s="93">
        <v>51600</v>
      </c>
      <c r="E458" s="102">
        <v>8375</v>
      </c>
      <c r="F458" s="102">
        <v>20609</v>
      </c>
      <c r="G458" s="93">
        <v>21000</v>
      </c>
      <c r="H458" s="93">
        <v>0</v>
      </c>
      <c r="I458" s="93">
        <v>0</v>
      </c>
      <c r="J458" s="102">
        <v>0</v>
      </c>
      <c r="K458" s="93">
        <v>0</v>
      </c>
    </row>
    <row r="459" spans="1:11" ht="12.75">
      <c r="A459" s="114">
        <v>90003</v>
      </c>
      <c r="B459" s="26"/>
      <c r="C459" s="19" t="s">
        <v>98</v>
      </c>
      <c r="D459" s="92">
        <f aca="true" t="shared" si="56" ref="D459:J459">SUM(D460:D463)</f>
        <v>462200</v>
      </c>
      <c r="E459" s="100">
        <f t="shared" si="56"/>
        <v>39927.13</v>
      </c>
      <c r="F459" s="100">
        <f t="shared" si="56"/>
        <v>456994.97</v>
      </c>
      <c r="G459" s="92">
        <f t="shared" si="56"/>
        <v>467622</v>
      </c>
      <c r="H459" s="92">
        <f t="shared" si="56"/>
        <v>41500</v>
      </c>
      <c r="I459" s="92">
        <f t="shared" si="56"/>
        <v>45355</v>
      </c>
      <c r="J459" s="100">
        <f t="shared" si="56"/>
        <v>41669.5</v>
      </c>
      <c r="K459" s="92">
        <f>SUM(K460:K463)</f>
        <v>48355</v>
      </c>
    </row>
    <row r="460" spans="1:11" ht="12.75">
      <c r="A460" s="114"/>
      <c r="B460" s="27">
        <v>4210</v>
      </c>
      <c r="C460" s="18" t="s">
        <v>14</v>
      </c>
      <c r="D460" s="82">
        <v>500</v>
      </c>
      <c r="E460" s="99">
        <v>4392</v>
      </c>
      <c r="F460" s="99">
        <v>0</v>
      </c>
      <c r="G460" s="93">
        <v>500</v>
      </c>
      <c r="H460" s="82">
        <v>500</v>
      </c>
      <c r="I460" s="82">
        <v>500</v>
      </c>
      <c r="J460" s="99">
        <v>0</v>
      </c>
      <c r="K460" s="82">
        <v>500</v>
      </c>
    </row>
    <row r="461" spans="1:11" ht="12.75">
      <c r="A461" s="115"/>
      <c r="B461" s="27">
        <v>4300</v>
      </c>
      <c r="C461" s="18" t="s">
        <v>15</v>
      </c>
      <c r="D461" s="82">
        <v>34500</v>
      </c>
      <c r="E461" s="99">
        <v>35535.13</v>
      </c>
      <c r="F461" s="99">
        <v>29872.97</v>
      </c>
      <c r="G461" s="93">
        <v>40000</v>
      </c>
      <c r="H461" s="82">
        <v>41000</v>
      </c>
      <c r="I461" s="82">
        <v>44855</v>
      </c>
      <c r="J461" s="99">
        <v>41669.5</v>
      </c>
      <c r="K461" s="82">
        <v>47855</v>
      </c>
    </row>
    <row r="462" spans="1:11" ht="12.75" hidden="1">
      <c r="A462" s="115"/>
      <c r="B462" s="145">
        <v>6067</v>
      </c>
      <c r="C462" s="18" t="s">
        <v>61</v>
      </c>
      <c r="D462" s="82">
        <v>200000</v>
      </c>
      <c r="E462" s="99">
        <v>0</v>
      </c>
      <c r="F462" s="99">
        <v>200000</v>
      </c>
      <c r="G462" s="82">
        <v>200000</v>
      </c>
      <c r="H462" s="82">
        <v>0</v>
      </c>
      <c r="I462" s="82">
        <v>0</v>
      </c>
      <c r="J462" s="99"/>
      <c r="K462" s="82">
        <v>0</v>
      </c>
    </row>
    <row r="463" spans="1:11" ht="12.75" hidden="1">
      <c r="A463" s="115"/>
      <c r="B463" s="145">
        <v>6069</v>
      </c>
      <c r="C463" s="18" t="s">
        <v>61</v>
      </c>
      <c r="D463" s="82">
        <v>227200</v>
      </c>
      <c r="E463" s="99">
        <v>0</v>
      </c>
      <c r="F463" s="99">
        <v>227122</v>
      </c>
      <c r="G463" s="82">
        <v>227122</v>
      </c>
      <c r="H463" s="93">
        <v>0</v>
      </c>
      <c r="I463" s="93">
        <v>0</v>
      </c>
      <c r="J463" s="99"/>
      <c r="K463" s="93">
        <v>0</v>
      </c>
    </row>
    <row r="464" spans="1:11" ht="12.75">
      <c r="A464" s="114">
        <v>90004</v>
      </c>
      <c r="B464" s="26"/>
      <c r="C464" s="19" t="s">
        <v>99</v>
      </c>
      <c r="D464" s="92">
        <f aca="true" t="shared" si="57" ref="D464:J464">SUM(D465:D466)</f>
        <v>89000</v>
      </c>
      <c r="E464" s="100">
        <f t="shared" si="57"/>
        <v>84462</v>
      </c>
      <c r="F464" s="100">
        <f t="shared" si="57"/>
        <v>66847.54000000001</v>
      </c>
      <c r="G464" s="92">
        <f t="shared" si="57"/>
        <v>89000</v>
      </c>
      <c r="H464" s="92">
        <f t="shared" si="57"/>
        <v>89000</v>
      </c>
      <c r="I464" s="92">
        <f t="shared" si="57"/>
        <v>87336</v>
      </c>
      <c r="J464" s="100">
        <f t="shared" si="57"/>
        <v>65487.21</v>
      </c>
      <c r="K464" s="92">
        <f>SUM(K465:K466)</f>
        <v>87336</v>
      </c>
    </row>
    <row r="465" spans="1:11" ht="12.75">
      <c r="A465" s="114"/>
      <c r="B465" s="27">
        <v>4210</v>
      </c>
      <c r="C465" s="18" t="s">
        <v>14</v>
      </c>
      <c r="D465" s="82">
        <v>4000</v>
      </c>
      <c r="E465" s="99">
        <v>1000</v>
      </c>
      <c r="F465" s="99">
        <v>1203.3</v>
      </c>
      <c r="G465" s="82">
        <v>2000</v>
      </c>
      <c r="H465" s="82">
        <v>2000</v>
      </c>
      <c r="I465" s="82">
        <v>2000</v>
      </c>
      <c r="J465" s="99">
        <v>1050</v>
      </c>
      <c r="K465" s="82">
        <v>2000</v>
      </c>
    </row>
    <row r="466" spans="1:11" ht="12.75">
      <c r="A466" s="115"/>
      <c r="B466" s="27">
        <v>4300</v>
      </c>
      <c r="C466" s="18" t="s">
        <v>15</v>
      </c>
      <c r="D466" s="82">
        <v>85000</v>
      </c>
      <c r="E466" s="99">
        <v>83462</v>
      </c>
      <c r="F466" s="99">
        <v>65644.24</v>
      </c>
      <c r="G466" s="93">
        <v>87000</v>
      </c>
      <c r="H466" s="93">
        <v>87000</v>
      </c>
      <c r="I466" s="93">
        <v>85336</v>
      </c>
      <c r="J466" s="99">
        <v>64437.21</v>
      </c>
      <c r="K466" s="93">
        <v>85336</v>
      </c>
    </row>
    <row r="467" spans="1:11" ht="12.75">
      <c r="A467" s="114">
        <v>90013</v>
      </c>
      <c r="B467" s="26"/>
      <c r="C467" s="19" t="s">
        <v>150</v>
      </c>
      <c r="D467" s="92">
        <f aca="true" t="shared" si="58" ref="D467:J467">SUM(D468:D471)</f>
        <v>12041</v>
      </c>
      <c r="E467" s="100">
        <f t="shared" si="58"/>
        <v>8446.75</v>
      </c>
      <c r="F467" s="100">
        <f t="shared" si="58"/>
        <v>9768.19</v>
      </c>
      <c r="G467" s="92">
        <f t="shared" si="58"/>
        <v>12041</v>
      </c>
      <c r="H467" s="92">
        <f t="shared" si="58"/>
        <v>8400</v>
      </c>
      <c r="I467" s="92">
        <f t="shared" si="58"/>
        <v>11880</v>
      </c>
      <c r="J467" s="100">
        <f t="shared" si="58"/>
        <v>6973.26</v>
      </c>
      <c r="K467" s="92">
        <f>SUM(K468:K471)</f>
        <v>11880</v>
      </c>
    </row>
    <row r="468" spans="1:11" ht="12.75">
      <c r="A468" s="115"/>
      <c r="B468" s="27">
        <v>4210</v>
      </c>
      <c r="C468" s="18" t="s">
        <v>14</v>
      </c>
      <c r="D468" s="82">
        <v>2800</v>
      </c>
      <c r="E468" s="99">
        <v>2339.18</v>
      </c>
      <c r="F468" s="99">
        <v>2086.35</v>
      </c>
      <c r="G468" s="82">
        <v>2800</v>
      </c>
      <c r="H468" s="82">
        <v>2900</v>
      </c>
      <c r="I468" s="82">
        <v>4000</v>
      </c>
      <c r="J468" s="99">
        <v>2664.06</v>
      </c>
      <c r="K468" s="82">
        <v>4000</v>
      </c>
    </row>
    <row r="469" spans="1:11" ht="12.75" hidden="1">
      <c r="A469" s="115"/>
      <c r="B469" s="27">
        <v>4270</v>
      </c>
      <c r="C469" s="18" t="s">
        <v>24</v>
      </c>
      <c r="D469" s="82">
        <v>0</v>
      </c>
      <c r="E469" s="99">
        <v>973.56</v>
      </c>
      <c r="F469" s="99">
        <v>0</v>
      </c>
      <c r="G469" s="82">
        <v>0</v>
      </c>
      <c r="H469" s="82">
        <v>0</v>
      </c>
      <c r="I469" s="82">
        <v>0</v>
      </c>
      <c r="J469" s="99">
        <v>0</v>
      </c>
      <c r="K469" s="82">
        <v>0</v>
      </c>
    </row>
    <row r="470" spans="1:11" ht="12.75">
      <c r="A470" s="115"/>
      <c r="B470" s="27">
        <v>4300</v>
      </c>
      <c r="C470" s="18" t="s">
        <v>15</v>
      </c>
      <c r="D470" s="82">
        <v>5500</v>
      </c>
      <c r="E470" s="99">
        <v>5134.01</v>
      </c>
      <c r="F470" s="99">
        <v>3940.84</v>
      </c>
      <c r="G470" s="82">
        <v>5500</v>
      </c>
      <c r="H470" s="82">
        <v>5500</v>
      </c>
      <c r="I470" s="82">
        <v>7880</v>
      </c>
      <c r="J470" s="99">
        <v>4309.2</v>
      </c>
      <c r="K470" s="82">
        <v>7880</v>
      </c>
    </row>
    <row r="471" spans="1:11" ht="38.25" customHeight="1" hidden="1">
      <c r="A471" s="115"/>
      <c r="B471" s="145">
        <v>6650</v>
      </c>
      <c r="C471" s="18" t="s">
        <v>8</v>
      </c>
      <c r="D471" s="82">
        <v>3741</v>
      </c>
      <c r="E471" s="99">
        <v>0</v>
      </c>
      <c r="F471" s="99">
        <v>3741</v>
      </c>
      <c r="G471" s="82">
        <v>3741</v>
      </c>
      <c r="H471" s="140">
        <v>0</v>
      </c>
      <c r="I471" s="140">
        <v>0</v>
      </c>
      <c r="J471" s="99"/>
      <c r="K471" s="140">
        <v>0</v>
      </c>
    </row>
    <row r="472" spans="1:11" ht="12.75">
      <c r="A472" s="114">
        <v>90015</v>
      </c>
      <c r="B472" s="26"/>
      <c r="C472" s="19" t="s">
        <v>100</v>
      </c>
      <c r="D472" s="138">
        <f>SUM(D473:D475)</f>
        <v>497000</v>
      </c>
      <c r="E472" s="100">
        <f>SUM(E473:E475)</f>
        <v>707877.09</v>
      </c>
      <c r="F472" s="100">
        <f>SUM(F473:F475)</f>
        <v>363305.18</v>
      </c>
      <c r="G472" s="138">
        <f>SUM(G473:G475)</f>
        <v>537000</v>
      </c>
      <c r="H472" s="92">
        <f>SUM(H473:H476)</f>
        <v>508623</v>
      </c>
      <c r="I472" s="92">
        <f>SUM(I473:I476)</f>
        <v>614933</v>
      </c>
      <c r="J472" s="100">
        <f>SUM(J473:J476)</f>
        <v>520671.78</v>
      </c>
      <c r="K472" s="92">
        <f>SUM(K473:K476)</f>
        <v>614933</v>
      </c>
    </row>
    <row r="473" spans="1:11" ht="12.75">
      <c r="A473" s="115"/>
      <c r="B473" s="27">
        <v>4260</v>
      </c>
      <c r="C473" s="18" t="s">
        <v>43</v>
      </c>
      <c r="D473" s="82">
        <v>297000</v>
      </c>
      <c r="E473" s="99">
        <v>310305.48</v>
      </c>
      <c r="F473" s="99">
        <v>251287.41</v>
      </c>
      <c r="G473" s="82">
        <v>337000</v>
      </c>
      <c r="H473" s="82">
        <v>337000</v>
      </c>
      <c r="I473" s="82">
        <v>285110</v>
      </c>
      <c r="J473" s="99">
        <v>251802.49</v>
      </c>
      <c r="K473" s="82">
        <v>285110</v>
      </c>
    </row>
    <row r="474" spans="1:11" ht="12.75">
      <c r="A474" s="115"/>
      <c r="B474" s="27">
        <v>4300</v>
      </c>
      <c r="C474" s="18" t="s">
        <v>15</v>
      </c>
      <c r="D474" s="82">
        <v>150000</v>
      </c>
      <c r="E474" s="99">
        <v>152571.61</v>
      </c>
      <c r="F474" s="99">
        <v>112017.77</v>
      </c>
      <c r="G474" s="82">
        <v>150000</v>
      </c>
      <c r="H474" s="82">
        <v>150000</v>
      </c>
      <c r="I474" s="82">
        <v>150000</v>
      </c>
      <c r="J474" s="99">
        <v>110671.51</v>
      </c>
      <c r="K474" s="82">
        <v>150000</v>
      </c>
    </row>
    <row r="475" spans="1:11" ht="12.75">
      <c r="A475" s="115"/>
      <c r="B475" s="151">
        <v>6050</v>
      </c>
      <c r="C475" s="18" t="s">
        <v>26</v>
      </c>
      <c r="D475" s="82">
        <v>50000</v>
      </c>
      <c r="E475" s="99">
        <v>245000</v>
      </c>
      <c r="F475" s="99">
        <v>0</v>
      </c>
      <c r="G475" s="82">
        <v>50000</v>
      </c>
      <c r="H475" s="82">
        <v>0</v>
      </c>
      <c r="I475" s="82">
        <v>158200</v>
      </c>
      <c r="J475" s="99">
        <v>158197.78</v>
      </c>
      <c r="K475" s="82">
        <v>158200</v>
      </c>
    </row>
    <row r="476" spans="1:11" ht="12.75">
      <c r="A476" s="115"/>
      <c r="B476" s="151">
        <v>6060</v>
      </c>
      <c r="C476" s="134" t="s">
        <v>61</v>
      </c>
      <c r="D476" s="82"/>
      <c r="E476" s="99"/>
      <c r="F476" s="99"/>
      <c r="G476" s="82"/>
      <c r="H476" s="152">
        <v>21623</v>
      </c>
      <c r="I476" s="152">
        <v>21623</v>
      </c>
      <c r="J476" s="99">
        <v>0</v>
      </c>
      <c r="K476" s="152">
        <v>21623</v>
      </c>
    </row>
    <row r="477" spans="1:11" ht="12.75" hidden="1">
      <c r="A477" s="114">
        <v>90078</v>
      </c>
      <c r="B477" s="26"/>
      <c r="C477" s="19" t="s">
        <v>165</v>
      </c>
      <c r="D477" s="92">
        <f aca="true" t="shared" si="59" ref="D477:J477">SUM(D478:D481)</f>
        <v>25000</v>
      </c>
      <c r="E477" s="100">
        <f t="shared" si="59"/>
        <v>0</v>
      </c>
      <c r="F477" s="100">
        <f t="shared" si="59"/>
        <v>11117.560000000001</v>
      </c>
      <c r="G477" s="92">
        <f t="shared" si="59"/>
        <v>25000</v>
      </c>
      <c r="H477" s="92">
        <f t="shared" si="59"/>
        <v>0</v>
      </c>
      <c r="I477" s="92">
        <f t="shared" si="59"/>
        <v>0</v>
      </c>
      <c r="J477" s="100">
        <f t="shared" si="59"/>
        <v>0</v>
      </c>
      <c r="K477" s="92">
        <f>SUM(K478:K481)</f>
        <v>0</v>
      </c>
    </row>
    <row r="478" spans="1:11" ht="12.75" hidden="1">
      <c r="A478" s="115"/>
      <c r="B478" s="27">
        <v>4110</v>
      </c>
      <c r="C478" s="18" t="s">
        <v>39</v>
      </c>
      <c r="D478" s="82">
        <v>416</v>
      </c>
      <c r="E478" s="99">
        <v>0</v>
      </c>
      <c r="F478" s="99">
        <v>415.25</v>
      </c>
      <c r="G478" s="82">
        <v>416</v>
      </c>
      <c r="H478" s="82">
        <v>0</v>
      </c>
      <c r="I478" s="82">
        <v>0</v>
      </c>
      <c r="J478" s="99"/>
      <c r="K478" s="82">
        <v>0</v>
      </c>
    </row>
    <row r="479" spans="1:11" ht="12.75" hidden="1">
      <c r="A479" s="115"/>
      <c r="B479" s="27">
        <v>4120</v>
      </c>
      <c r="C479" s="18" t="s">
        <v>40</v>
      </c>
      <c r="D479" s="82">
        <v>68</v>
      </c>
      <c r="E479" s="99">
        <v>0</v>
      </c>
      <c r="F479" s="99">
        <v>67.38</v>
      </c>
      <c r="G479" s="82">
        <v>68</v>
      </c>
      <c r="H479" s="82">
        <v>0</v>
      </c>
      <c r="I479" s="82">
        <v>0</v>
      </c>
      <c r="J479" s="99"/>
      <c r="K479" s="82">
        <v>0</v>
      </c>
    </row>
    <row r="480" spans="1:11" ht="12.75" hidden="1">
      <c r="A480" s="115"/>
      <c r="B480" s="27">
        <v>4170</v>
      </c>
      <c r="C480" s="18" t="s">
        <v>42</v>
      </c>
      <c r="D480" s="82">
        <v>2750</v>
      </c>
      <c r="E480" s="99">
        <v>0</v>
      </c>
      <c r="F480" s="99">
        <v>2750</v>
      </c>
      <c r="G480" s="82">
        <v>2750</v>
      </c>
      <c r="H480" s="82">
        <v>0</v>
      </c>
      <c r="I480" s="82">
        <v>0</v>
      </c>
      <c r="J480" s="99"/>
      <c r="K480" s="82">
        <v>0</v>
      </c>
    </row>
    <row r="481" spans="1:11" ht="12.75" hidden="1">
      <c r="A481" s="115"/>
      <c r="B481" s="27">
        <v>4300</v>
      </c>
      <c r="C481" s="18" t="s">
        <v>15</v>
      </c>
      <c r="D481" s="82">
        <v>21766</v>
      </c>
      <c r="E481" s="99">
        <v>0</v>
      </c>
      <c r="F481" s="99">
        <v>7884.93</v>
      </c>
      <c r="G481" s="82">
        <f>25000-3234</f>
        <v>21766</v>
      </c>
      <c r="H481" s="82">
        <v>0</v>
      </c>
      <c r="I481" s="82">
        <v>0</v>
      </c>
      <c r="J481" s="99"/>
      <c r="K481" s="82">
        <v>0</v>
      </c>
    </row>
    <row r="482" spans="1:11" ht="12.75" hidden="1">
      <c r="A482" s="114">
        <v>90017</v>
      </c>
      <c r="B482" s="26"/>
      <c r="C482" s="19" t="s">
        <v>101</v>
      </c>
      <c r="D482" s="92">
        <f aca="true" t="shared" si="60" ref="D482:K482">SUM(D483:D483)</f>
        <v>0</v>
      </c>
      <c r="E482" s="100">
        <f t="shared" si="60"/>
        <v>100000</v>
      </c>
      <c r="F482" s="100">
        <f t="shared" si="60"/>
        <v>0</v>
      </c>
      <c r="G482" s="100">
        <f t="shared" si="60"/>
        <v>0</v>
      </c>
      <c r="H482" s="92">
        <f t="shared" si="60"/>
        <v>0</v>
      </c>
      <c r="I482" s="92">
        <f t="shared" si="60"/>
        <v>0</v>
      </c>
      <c r="J482" s="100">
        <f t="shared" si="60"/>
        <v>0</v>
      </c>
      <c r="K482" s="92">
        <f t="shared" si="60"/>
        <v>0</v>
      </c>
    </row>
    <row r="483" spans="1:11" s="13" customFormat="1" ht="22.5" customHeight="1" hidden="1">
      <c r="A483" s="116"/>
      <c r="B483" s="27">
        <v>6210</v>
      </c>
      <c r="C483" s="44" t="s">
        <v>102</v>
      </c>
      <c r="D483" s="93">
        <v>0</v>
      </c>
      <c r="E483" s="102">
        <v>100000</v>
      </c>
      <c r="F483" s="102">
        <v>0</v>
      </c>
      <c r="G483" s="93">
        <v>0</v>
      </c>
      <c r="H483" s="93">
        <v>0</v>
      </c>
      <c r="I483" s="93">
        <v>0</v>
      </c>
      <c r="J483" s="102">
        <v>0</v>
      </c>
      <c r="K483" s="93">
        <v>0</v>
      </c>
    </row>
    <row r="484" spans="1:11" ht="12.75">
      <c r="A484" s="114">
        <v>90095</v>
      </c>
      <c r="B484" s="26"/>
      <c r="C484" s="19" t="s">
        <v>13</v>
      </c>
      <c r="D484" s="92">
        <f aca="true" t="shared" si="61" ref="D484:J484">SUM(D485:D494)</f>
        <v>775139</v>
      </c>
      <c r="E484" s="100">
        <f t="shared" si="61"/>
        <v>82195.73</v>
      </c>
      <c r="F484" s="100">
        <f t="shared" si="61"/>
        <v>55596.84</v>
      </c>
      <c r="G484" s="100">
        <f t="shared" si="61"/>
        <v>87974</v>
      </c>
      <c r="H484" s="92">
        <f t="shared" si="61"/>
        <v>85500</v>
      </c>
      <c r="I484" s="92">
        <f t="shared" si="61"/>
        <v>81168</v>
      </c>
      <c r="J484" s="100">
        <f t="shared" si="61"/>
        <v>51249.55</v>
      </c>
      <c r="K484" s="92">
        <f>SUM(K485:K494)</f>
        <v>78168</v>
      </c>
    </row>
    <row r="485" spans="1:11" s="13" customFormat="1" ht="33.75">
      <c r="A485" s="116"/>
      <c r="B485" s="27">
        <v>2900</v>
      </c>
      <c r="C485" s="44" t="s">
        <v>103</v>
      </c>
      <c r="D485" s="82">
        <v>25274</v>
      </c>
      <c r="E485" s="99">
        <v>21879</v>
      </c>
      <c r="F485" s="99">
        <v>18955.5</v>
      </c>
      <c r="G485" s="82">
        <f>25274+11600</f>
        <v>36874</v>
      </c>
      <c r="H485" s="93">
        <f>10500+26500</f>
        <v>37000</v>
      </c>
      <c r="I485" s="93">
        <v>37050</v>
      </c>
      <c r="J485" s="99">
        <v>30410.25</v>
      </c>
      <c r="K485" s="93">
        <v>37050</v>
      </c>
    </row>
    <row r="486" spans="1:11" ht="12.75">
      <c r="A486" s="115"/>
      <c r="B486" s="27">
        <v>4210</v>
      </c>
      <c r="C486" s="18" t="s">
        <v>14</v>
      </c>
      <c r="D486" s="82">
        <v>1000</v>
      </c>
      <c r="E486" s="99">
        <v>1221</v>
      </c>
      <c r="F486" s="99">
        <v>0</v>
      </c>
      <c r="G486" s="82">
        <v>1000</v>
      </c>
      <c r="H486" s="82">
        <v>500</v>
      </c>
      <c r="I486" s="82">
        <v>500</v>
      </c>
      <c r="J486" s="99">
        <v>220</v>
      </c>
      <c r="K486" s="82">
        <v>8998</v>
      </c>
    </row>
    <row r="487" spans="1:11" ht="12.75">
      <c r="A487" s="115"/>
      <c r="B487" s="27">
        <v>4260</v>
      </c>
      <c r="C487" s="18" t="s">
        <v>43</v>
      </c>
      <c r="D487" s="82">
        <v>11000</v>
      </c>
      <c r="E487" s="99">
        <v>8445.64</v>
      </c>
      <c r="F487" s="99">
        <v>5653.83</v>
      </c>
      <c r="G487" s="82">
        <v>7600</v>
      </c>
      <c r="H487" s="82">
        <v>7100</v>
      </c>
      <c r="I487" s="82">
        <v>7100</v>
      </c>
      <c r="J487" s="99">
        <v>5649.11</v>
      </c>
      <c r="K487" s="82">
        <v>7100</v>
      </c>
    </row>
    <row r="488" spans="1:11" ht="12.75">
      <c r="A488" s="115"/>
      <c r="B488" s="27">
        <v>4270</v>
      </c>
      <c r="C488" s="18" t="s">
        <v>24</v>
      </c>
      <c r="D488" s="82">
        <v>8259</v>
      </c>
      <c r="E488" s="99">
        <v>10606.34</v>
      </c>
      <c r="F488" s="99">
        <v>5218.82</v>
      </c>
      <c r="G488" s="82">
        <v>7000</v>
      </c>
      <c r="H488" s="82">
        <v>6250</v>
      </c>
      <c r="I488" s="82">
        <v>9750</v>
      </c>
      <c r="J488" s="99">
        <v>5530.11</v>
      </c>
      <c r="K488" s="82">
        <v>9750</v>
      </c>
    </row>
    <row r="489" spans="1:11" ht="12.75">
      <c r="A489" s="115"/>
      <c r="B489" s="27">
        <v>4300</v>
      </c>
      <c r="C489" s="18" t="s">
        <v>15</v>
      </c>
      <c r="D489" s="82">
        <v>36106</v>
      </c>
      <c r="E489" s="99">
        <v>21407.91</v>
      </c>
      <c r="F489" s="99">
        <v>23484.69</v>
      </c>
      <c r="G489" s="82">
        <v>32000</v>
      </c>
      <c r="H489" s="82">
        <v>31000</v>
      </c>
      <c r="I489" s="82">
        <v>23118</v>
      </c>
      <c r="J489" s="99">
        <v>6279.08</v>
      </c>
      <c r="K489" s="82">
        <v>11620</v>
      </c>
    </row>
    <row r="490" spans="1:11" ht="12.75">
      <c r="A490" s="115"/>
      <c r="B490" s="27">
        <v>4430</v>
      </c>
      <c r="C490" s="18" t="s">
        <v>16</v>
      </c>
      <c r="D490" s="82">
        <v>3500</v>
      </c>
      <c r="E490" s="99">
        <v>1905</v>
      </c>
      <c r="F490" s="99">
        <v>2284</v>
      </c>
      <c r="G490" s="82">
        <v>3500</v>
      </c>
      <c r="H490" s="82">
        <v>3650</v>
      </c>
      <c r="I490" s="82">
        <v>3650</v>
      </c>
      <c r="J490" s="99">
        <v>3161</v>
      </c>
      <c r="K490" s="82">
        <v>3650</v>
      </c>
    </row>
    <row r="491" spans="1:11" ht="12.75" hidden="1">
      <c r="A491" s="115"/>
      <c r="B491" s="145">
        <v>6050</v>
      </c>
      <c r="C491" s="18" t="s">
        <v>26</v>
      </c>
      <c r="D491" s="82">
        <v>0</v>
      </c>
      <c r="E491" s="99">
        <v>16730.84</v>
      </c>
      <c r="F491" s="99">
        <v>0</v>
      </c>
      <c r="G491" s="82"/>
      <c r="H491" s="82"/>
      <c r="I491" s="82"/>
      <c r="J491" s="99">
        <v>0</v>
      </c>
      <c r="K491" s="82"/>
    </row>
    <row r="492" spans="1:11" ht="12.75" hidden="1">
      <c r="A492" s="115"/>
      <c r="B492" s="145">
        <v>6057</v>
      </c>
      <c r="C492" s="18" t="s">
        <v>26</v>
      </c>
      <c r="D492" s="82">
        <v>415000</v>
      </c>
      <c r="E492" s="99">
        <v>0</v>
      </c>
      <c r="F492" s="99">
        <v>0</v>
      </c>
      <c r="G492" s="82">
        <v>0</v>
      </c>
      <c r="H492" s="82">
        <v>0</v>
      </c>
      <c r="I492" s="82">
        <v>0</v>
      </c>
      <c r="J492" s="99">
        <v>0</v>
      </c>
      <c r="K492" s="82">
        <v>0</v>
      </c>
    </row>
    <row r="493" spans="1:11" ht="12.75" hidden="1">
      <c r="A493" s="115"/>
      <c r="B493" s="145">
        <v>6059</v>
      </c>
      <c r="C493" s="18" t="s">
        <v>26</v>
      </c>
      <c r="D493" s="82">
        <v>275000</v>
      </c>
      <c r="E493" s="99">
        <v>0</v>
      </c>
      <c r="F493" s="99">
        <v>0</v>
      </c>
      <c r="G493" s="82">
        <v>0</v>
      </c>
      <c r="H493" s="82">
        <v>0</v>
      </c>
      <c r="I493" s="82">
        <v>0</v>
      </c>
      <c r="J493" s="99">
        <v>0</v>
      </c>
      <c r="K493" s="82">
        <v>0</v>
      </c>
    </row>
    <row r="494" spans="1:11" ht="12.75" hidden="1">
      <c r="A494" s="115"/>
      <c r="B494" s="145">
        <v>6060</v>
      </c>
      <c r="C494" s="18" t="s">
        <v>61</v>
      </c>
      <c r="D494" s="82">
        <v>0</v>
      </c>
      <c r="E494" s="99">
        <v>0</v>
      </c>
      <c r="F494" s="99">
        <f>E494+D494</f>
        <v>0</v>
      </c>
      <c r="G494" s="82"/>
      <c r="H494" s="82">
        <f>F494+E494</f>
        <v>0</v>
      </c>
      <c r="I494" s="82">
        <f>G494+F494</f>
        <v>0</v>
      </c>
      <c r="J494" s="99">
        <f>I494+H494</f>
        <v>0</v>
      </c>
      <c r="K494" s="82">
        <f>I494+H494</f>
        <v>0</v>
      </c>
    </row>
    <row r="495" spans="1:11" ht="12.75">
      <c r="A495" s="113">
        <v>921</v>
      </c>
      <c r="B495" s="89"/>
      <c r="C495" s="90" t="s">
        <v>104</v>
      </c>
      <c r="D495" s="91">
        <f aca="true" t="shared" si="62" ref="D495:J495">SUM(D496,D508,D514,D517)</f>
        <v>2723594</v>
      </c>
      <c r="E495" s="103">
        <f t="shared" si="62"/>
        <v>1549371.69</v>
      </c>
      <c r="F495" s="103">
        <f t="shared" si="62"/>
        <v>1166503.97</v>
      </c>
      <c r="G495" s="91">
        <f t="shared" si="62"/>
        <v>1907226</v>
      </c>
      <c r="H495" s="91">
        <f t="shared" si="62"/>
        <v>643795</v>
      </c>
      <c r="I495" s="91">
        <f t="shared" si="62"/>
        <v>658595</v>
      </c>
      <c r="J495" s="103">
        <f t="shared" si="62"/>
        <v>549188.77</v>
      </c>
      <c r="K495" s="91">
        <f>SUM(K496,K508,K514,K517)</f>
        <v>683595</v>
      </c>
    </row>
    <row r="496" spans="1:11" ht="12.75">
      <c r="A496" s="114">
        <v>92109</v>
      </c>
      <c r="B496" s="26"/>
      <c r="C496" s="19" t="s">
        <v>105</v>
      </c>
      <c r="D496" s="92">
        <f aca="true" t="shared" si="63" ref="D496:J496">SUM(D497:D507)</f>
        <v>2054494</v>
      </c>
      <c r="E496" s="100">
        <f t="shared" si="63"/>
        <v>1196357.88</v>
      </c>
      <c r="F496" s="100">
        <f t="shared" si="63"/>
        <v>969860.3</v>
      </c>
      <c r="G496" s="92">
        <f t="shared" si="63"/>
        <v>1587196</v>
      </c>
      <c r="H496" s="92">
        <f t="shared" si="63"/>
        <v>422695</v>
      </c>
      <c r="I496" s="92">
        <f t="shared" si="63"/>
        <v>435995</v>
      </c>
      <c r="J496" s="100">
        <f t="shared" si="63"/>
        <v>375141.77</v>
      </c>
      <c r="K496" s="92">
        <f>SUM(K497:K507)</f>
        <v>460995</v>
      </c>
    </row>
    <row r="497" spans="1:11" ht="14.25" customHeight="1">
      <c r="A497" s="115"/>
      <c r="B497" s="27">
        <v>2480</v>
      </c>
      <c r="C497" s="18" t="s">
        <v>106</v>
      </c>
      <c r="D497" s="82">
        <v>380000</v>
      </c>
      <c r="E497" s="99">
        <v>350000</v>
      </c>
      <c r="F497" s="99">
        <v>297000</v>
      </c>
      <c r="G497" s="82">
        <v>380000</v>
      </c>
      <c r="H497" s="82">
        <v>315600</v>
      </c>
      <c r="I497" s="82">
        <v>335600</v>
      </c>
      <c r="J497" s="99">
        <v>278000</v>
      </c>
      <c r="K497" s="82">
        <v>335600</v>
      </c>
    </row>
    <row r="498" spans="1:11" ht="14.25" customHeight="1">
      <c r="A498" s="115"/>
      <c r="B498" s="27">
        <v>4210</v>
      </c>
      <c r="C498" s="27" t="s">
        <v>14</v>
      </c>
      <c r="D498" s="82"/>
      <c r="E498" s="99"/>
      <c r="F498" s="99"/>
      <c r="G498" s="82"/>
      <c r="H498" s="82">
        <v>46609</v>
      </c>
      <c r="I498" s="82">
        <v>41656</v>
      </c>
      <c r="J498" s="99">
        <v>38653.79</v>
      </c>
      <c r="K498" s="82">
        <v>41656</v>
      </c>
    </row>
    <row r="499" spans="1:11" ht="14.25" customHeight="1" hidden="1">
      <c r="A499" s="115"/>
      <c r="B499" s="27">
        <v>4270</v>
      </c>
      <c r="C499" s="18" t="s">
        <v>24</v>
      </c>
      <c r="D499" s="82"/>
      <c r="E499" s="99"/>
      <c r="F499" s="99"/>
      <c r="G499" s="82"/>
      <c r="H499" s="82">
        <v>7300</v>
      </c>
      <c r="I499" s="82">
        <v>0</v>
      </c>
      <c r="J499" s="99">
        <v>0</v>
      </c>
      <c r="K499" s="82">
        <v>0</v>
      </c>
    </row>
    <row r="500" spans="1:11" ht="14.25" customHeight="1">
      <c r="A500" s="115"/>
      <c r="B500" s="27">
        <v>4300</v>
      </c>
      <c r="C500" s="27" t="s">
        <v>15</v>
      </c>
      <c r="D500" s="82"/>
      <c r="E500" s="99"/>
      <c r="F500" s="99"/>
      <c r="G500" s="82"/>
      <c r="H500" s="82">
        <v>13494</v>
      </c>
      <c r="I500" s="82">
        <v>1750</v>
      </c>
      <c r="J500" s="99">
        <v>1502</v>
      </c>
      <c r="K500" s="82">
        <v>1750</v>
      </c>
    </row>
    <row r="501" spans="1:11" ht="12.75">
      <c r="A501" s="115"/>
      <c r="B501" s="151">
        <v>6050</v>
      </c>
      <c r="C501" s="18" t="s">
        <v>26</v>
      </c>
      <c r="D501" s="82">
        <v>210026</v>
      </c>
      <c r="E501" s="99">
        <v>216675</v>
      </c>
      <c r="F501" s="99">
        <v>106697.83</v>
      </c>
      <c r="G501" s="82">
        <v>210026</v>
      </c>
      <c r="H501" s="82">
        <v>0</v>
      </c>
      <c r="I501" s="82">
        <v>10494</v>
      </c>
      <c r="J501" s="99">
        <v>10493.2</v>
      </c>
      <c r="K501" s="82">
        <v>35494</v>
      </c>
    </row>
    <row r="502" spans="1:11" ht="12.75" hidden="1">
      <c r="A502" s="115"/>
      <c r="B502" s="151">
        <v>6057</v>
      </c>
      <c r="C502" s="18" t="s">
        <v>26</v>
      </c>
      <c r="D502" s="82">
        <v>740000</v>
      </c>
      <c r="E502" s="99">
        <v>0</v>
      </c>
      <c r="F502" s="99">
        <v>130999.94</v>
      </c>
      <c r="G502" s="82">
        <f>129901</f>
        <v>129901</v>
      </c>
      <c r="H502" s="82">
        <v>0</v>
      </c>
      <c r="I502" s="82">
        <v>0</v>
      </c>
      <c r="J502" s="99"/>
      <c r="K502" s="82">
        <v>0</v>
      </c>
    </row>
    <row r="503" spans="1:11" ht="12.75" hidden="1">
      <c r="A503" s="115"/>
      <c r="B503" s="151">
        <v>6059</v>
      </c>
      <c r="C503" s="18" t="s">
        <v>26</v>
      </c>
      <c r="D503" s="82">
        <v>354468</v>
      </c>
      <c r="E503" s="99">
        <v>553682.88</v>
      </c>
      <c r="F503" s="99">
        <v>185162.53</v>
      </c>
      <c r="G503" s="82">
        <v>497269</v>
      </c>
      <c r="H503" s="82">
        <v>0</v>
      </c>
      <c r="I503" s="82">
        <v>0</v>
      </c>
      <c r="J503" s="99"/>
      <c r="K503" s="82">
        <v>0</v>
      </c>
    </row>
    <row r="504" spans="1:11" ht="12.75">
      <c r="A504" s="115"/>
      <c r="B504" s="151">
        <v>6060</v>
      </c>
      <c r="C504" s="18" t="s">
        <v>61</v>
      </c>
      <c r="D504" s="82"/>
      <c r="E504" s="99"/>
      <c r="F504" s="99"/>
      <c r="G504" s="82"/>
      <c r="H504" s="82">
        <v>39692</v>
      </c>
      <c r="I504" s="82">
        <v>46495</v>
      </c>
      <c r="J504" s="99">
        <v>46492.78</v>
      </c>
      <c r="K504" s="82">
        <v>46495</v>
      </c>
    </row>
    <row r="505" spans="1:11" ht="12.75" hidden="1">
      <c r="A505" s="115"/>
      <c r="B505" s="145">
        <v>6067</v>
      </c>
      <c r="C505" s="18" t="s">
        <v>61</v>
      </c>
      <c r="D505" s="82">
        <v>90000</v>
      </c>
      <c r="E505" s="99">
        <v>0</v>
      </c>
      <c r="F505" s="99">
        <v>0</v>
      </c>
      <c r="G505" s="82">
        <v>90000</v>
      </c>
      <c r="H505" s="82">
        <v>0</v>
      </c>
      <c r="I505" s="82">
        <v>0</v>
      </c>
      <c r="J505" s="99">
        <v>0</v>
      </c>
      <c r="K505" s="82">
        <v>0</v>
      </c>
    </row>
    <row r="506" spans="1:11" ht="12.75" hidden="1">
      <c r="A506" s="115"/>
      <c r="B506" s="145">
        <v>6069</v>
      </c>
      <c r="C506" s="18" t="s">
        <v>61</v>
      </c>
      <c r="D506" s="82">
        <v>30000</v>
      </c>
      <c r="E506" s="99">
        <v>0</v>
      </c>
      <c r="F506" s="99">
        <v>0</v>
      </c>
      <c r="G506" s="82">
        <v>30000</v>
      </c>
      <c r="H506" s="82">
        <v>0</v>
      </c>
      <c r="I506" s="82">
        <v>0</v>
      </c>
      <c r="J506" s="99">
        <v>0</v>
      </c>
      <c r="K506" s="82">
        <v>0</v>
      </c>
    </row>
    <row r="507" spans="1:11" ht="38.25" hidden="1">
      <c r="A507" s="115"/>
      <c r="B507" s="145">
        <v>6220</v>
      </c>
      <c r="C507" s="18" t="s">
        <v>152</v>
      </c>
      <c r="D507" s="82">
        <v>250000</v>
      </c>
      <c r="E507" s="99">
        <v>76000</v>
      </c>
      <c r="F507" s="99">
        <v>250000</v>
      </c>
      <c r="G507" s="82">
        <v>250000</v>
      </c>
      <c r="H507" s="82">
        <v>0</v>
      </c>
      <c r="I507" s="82">
        <v>0</v>
      </c>
      <c r="J507" s="99"/>
      <c r="K507" s="82">
        <v>0</v>
      </c>
    </row>
    <row r="508" spans="1:11" ht="12.75">
      <c r="A508" s="114">
        <v>92116</v>
      </c>
      <c r="B508" s="26"/>
      <c r="C508" s="19" t="s">
        <v>107</v>
      </c>
      <c r="D508" s="92">
        <f>D509+D511+D512+D513</f>
        <v>556040</v>
      </c>
      <c r="E508" s="100">
        <f>E509+E511+E512+E513</f>
        <v>213000</v>
      </c>
      <c r="F508" s="100">
        <f>F509+F511+F512+F513</f>
        <v>157400</v>
      </c>
      <c r="G508" s="92">
        <f>G509+G511+G512+G513</f>
        <v>215000</v>
      </c>
      <c r="H508" s="92">
        <f>H509+H511+H512+H513</f>
        <v>215000</v>
      </c>
      <c r="I508" s="92">
        <f>SUM(I509:I513)</f>
        <v>216500</v>
      </c>
      <c r="J508" s="100">
        <f>SUM(J509:J513)</f>
        <v>170000</v>
      </c>
      <c r="K508" s="92">
        <f>SUM(K509:K513)</f>
        <v>216500</v>
      </c>
    </row>
    <row r="509" spans="1:11" ht="15" customHeight="1">
      <c r="A509" s="114"/>
      <c r="B509" s="27">
        <v>2480</v>
      </c>
      <c r="C509" s="18" t="s">
        <v>106</v>
      </c>
      <c r="D509" s="82">
        <v>215000</v>
      </c>
      <c r="E509" s="99">
        <v>213000</v>
      </c>
      <c r="F509" s="99">
        <v>157400</v>
      </c>
      <c r="G509" s="82">
        <v>215000</v>
      </c>
      <c r="H509" s="82">
        <v>215000</v>
      </c>
      <c r="I509" s="82">
        <v>215000</v>
      </c>
      <c r="J509" s="99">
        <v>170000</v>
      </c>
      <c r="K509" s="82">
        <v>215000</v>
      </c>
    </row>
    <row r="510" spans="1:11" ht="15" customHeight="1">
      <c r="A510" s="114"/>
      <c r="B510" s="27">
        <v>4300</v>
      </c>
      <c r="C510" s="18" t="s">
        <v>15</v>
      </c>
      <c r="D510" s="82">
        <v>36106</v>
      </c>
      <c r="E510" s="99">
        <v>21407.91</v>
      </c>
      <c r="F510" s="99">
        <v>23484.69</v>
      </c>
      <c r="G510" s="82">
        <v>32000</v>
      </c>
      <c r="H510" s="82"/>
      <c r="I510" s="82">
        <v>1500</v>
      </c>
      <c r="J510" s="99">
        <v>0</v>
      </c>
      <c r="K510" s="82">
        <v>1500</v>
      </c>
    </row>
    <row r="511" spans="1:11" ht="12.75" hidden="1">
      <c r="A511" s="114"/>
      <c r="B511" s="145">
        <v>6057</v>
      </c>
      <c r="C511" s="18" t="s">
        <v>26</v>
      </c>
      <c r="D511" s="82">
        <v>42620</v>
      </c>
      <c r="E511" s="99">
        <v>0</v>
      </c>
      <c r="F511" s="99">
        <v>0</v>
      </c>
      <c r="G511" s="82">
        <v>0</v>
      </c>
      <c r="H511" s="82"/>
      <c r="I511" s="82"/>
      <c r="J511" s="99"/>
      <c r="K511" s="82"/>
    </row>
    <row r="512" spans="1:11" ht="12.75" hidden="1">
      <c r="A512" s="114"/>
      <c r="B512" s="145">
        <v>6059</v>
      </c>
      <c r="C512" s="18" t="s">
        <v>26</v>
      </c>
      <c r="D512" s="82">
        <v>298420</v>
      </c>
      <c r="E512" s="99">
        <v>0</v>
      </c>
      <c r="F512" s="99">
        <v>0</v>
      </c>
      <c r="G512" s="82">
        <v>0</v>
      </c>
      <c r="H512" s="82"/>
      <c r="I512" s="82"/>
      <c r="J512" s="99"/>
      <c r="K512" s="82"/>
    </row>
    <row r="513" spans="1:11" ht="38.25" hidden="1">
      <c r="A513" s="114"/>
      <c r="B513" s="145">
        <v>6220</v>
      </c>
      <c r="C513" s="18" t="s">
        <v>152</v>
      </c>
      <c r="D513" s="82">
        <v>0</v>
      </c>
      <c r="E513" s="99">
        <v>0</v>
      </c>
      <c r="F513" s="99">
        <v>0</v>
      </c>
      <c r="G513" s="82">
        <v>0</v>
      </c>
      <c r="H513" s="82"/>
      <c r="I513" s="82"/>
      <c r="J513" s="99"/>
      <c r="K513" s="82"/>
    </row>
    <row r="514" spans="1:11" ht="12.75" hidden="1">
      <c r="A514" s="114">
        <v>92120</v>
      </c>
      <c r="B514" s="26"/>
      <c r="C514" s="26" t="s">
        <v>132</v>
      </c>
      <c r="D514" s="92">
        <f aca="true" t="shared" si="64" ref="D514:J514">D516+D515</f>
        <v>97830</v>
      </c>
      <c r="E514" s="100">
        <f t="shared" si="64"/>
        <v>120090</v>
      </c>
      <c r="F514" s="100">
        <f t="shared" si="64"/>
        <v>35000</v>
      </c>
      <c r="G514" s="92">
        <f t="shared" si="64"/>
        <v>97830</v>
      </c>
      <c r="H514" s="92">
        <f t="shared" si="64"/>
        <v>0</v>
      </c>
      <c r="I514" s="92">
        <f t="shared" si="64"/>
        <v>0</v>
      </c>
      <c r="J514" s="100">
        <f t="shared" si="64"/>
        <v>0</v>
      </c>
      <c r="K514" s="92">
        <f>K516+K515</f>
        <v>0</v>
      </c>
    </row>
    <row r="515" spans="1:11" ht="12.75" hidden="1">
      <c r="A515" s="114"/>
      <c r="B515" s="27">
        <v>4170</v>
      </c>
      <c r="C515" s="18" t="s">
        <v>42</v>
      </c>
      <c r="D515" s="81">
        <v>97830</v>
      </c>
      <c r="E515" s="101">
        <v>12500</v>
      </c>
      <c r="F515" s="101">
        <v>35000</v>
      </c>
      <c r="G515" s="81">
        <v>97830</v>
      </c>
      <c r="H515" s="81">
        <v>0</v>
      </c>
      <c r="I515" s="81">
        <v>0</v>
      </c>
      <c r="J515" s="101"/>
      <c r="K515" s="81">
        <v>0</v>
      </c>
    </row>
    <row r="516" spans="1:11" ht="26.25" customHeight="1" hidden="1">
      <c r="A516" s="114"/>
      <c r="B516" s="27">
        <v>4340</v>
      </c>
      <c r="C516" s="18" t="s">
        <v>144</v>
      </c>
      <c r="D516" s="82">
        <v>0</v>
      </c>
      <c r="E516" s="99">
        <v>107590</v>
      </c>
      <c r="F516" s="99">
        <v>0</v>
      </c>
      <c r="G516" s="82">
        <v>0</v>
      </c>
      <c r="H516" s="82">
        <v>0</v>
      </c>
      <c r="I516" s="82">
        <v>0</v>
      </c>
      <c r="J516" s="99">
        <v>0</v>
      </c>
      <c r="K516" s="82">
        <v>0</v>
      </c>
    </row>
    <row r="517" spans="1:11" ht="12.75">
      <c r="A517" s="114">
        <v>92195</v>
      </c>
      <c r="B517" s="26"/>
      <c r="C517" s="26" t="s">
        <v>13</v>
      </c>
      <c r="D517" s="92">
        <f aca="true" t="shared" si="65" ref="D517:J517">SUM(D518:D523)</f>
        <v>15230</v>
      </c>
      <c r="E517" s="100">
        <f t="shared" si="65"/>
        <v>19923.81</v>
      </c>
      <c r="F517" s="100">
        <f t="shared" si="65"/>
        <v>4243.67</v>
      </c>
      <c r="G517" s="92">
        <f t="shared" si="65"/>
        <v>7200</v>
      </c>
      <c r="H517" s="92">
        <f t="shared" si="65"/>
        <v>6100</v>
      </c>
      <c r="I517" s="92">
        <f t="shared" si="65"/>
        <v>6100</v>
      </c>
      <c r="J517" s="100">
        <f t="shared" si="65"/>
        <v>4047</v>
      </c>
      <c r="K517" s="92">
        <f>SUM(K518:K523)</f>
        <v>6100</v>
      </c>
    </row>
    <row r="518" spans="1:11" ht="12.75">
      <c r="A518" s="115"/>
      <c r="B518" s="27">
        <v>4210</v>
      </c>
      <c r="C518" s="27" t="s">
        <v>14</v>
      </c>
      <c r="D518" s="82">
        <v>4230</v>
      </c>
      <c r="E518" s="99">
        <v>1085.25</v>
      </c>
      <c r="F518" s="99">
        <v>128.86</v>
      </c>
      <c r="G518" s="82">
        <v>1200</v>
      </c>
      <c r="H518" s="82">
        <v>1000</v>
      </c>
      <c r="I518" s="82">
        <v>1000</v>
      </c>
      <c r="J518" s="99">
        <v>494.54</v>
      </c>
      <c r="K518" s="82">
        <v>1000</v>
      </c>
    </row>
    <row r="519" spans="1:11" ht="12.75">
      <c r="A519" s="115"/>
      <c r="B519" s="27">
        <v>4260</v>
      </c>
      <c r="C519" s="18" t="s">
        <v>43</v>
      </c>
      <c r="D519" s="82">
        <v>6000</v>
      </c>
      <c r="E519" s="99">
        <v>17374.56</v>
      </c>
      <c r="F519" s="99">
        <v>3382.81</v>
      </c>
      <c r="G519" s="82">
        <v>5000</v>
      </c>
      <c r="H519" s="82">
        <v>4500</v>
      </c>
      <c r="I519" s="82">
        <v>4500</v>
      </c>
      <c r="J519" s="99">
        <v>3552.46</v>
      </c>
      <c r="K519" s="82">
        <v>4500</v>
      </c>
    </row>
    <row r="520" spans="1:11" ht="12.75" hidden="1">
      <c r="A520" s="115"/>
      <c r="B520" s="27">
        <v>4270</v>
      </c>
      <c r="C520" s="18" t="s">
        <v>24</v>
      </c>
      <c r="D520" s="82">
        <v>0</v>
      </c>
      <c r="E520" s="99">
        <v>0</v>
      </c>
      <c r="F520" s="99"/>
      <c r="G520" s="82"/>
      <c r="H520" s="82">
        <v>0</v>
      </c>
      <c r="I520" s="82">
        <v>0</v>
      </c>
      <c r="J520" s="99"/>
      <c r="K520" s="82">
        <v>0</v>
      </c>
    </row>
    <row r="521" spans="1:11" ht="12.75">
      <c r="A521" s="115"/>
      <c r="B521" s="27">
        <v>4300</v>
      </c>
      <c r="C521" s="27" t="s">
        <v>15</v>
      </c>
      <c r="D521" s="82">
        <v>5000</v>
      </c>
      <c r="E521" s="99">
        <v>1464</v>
      </c>
      <c r="F521" s="99">
        <v>732</v>
      </c>
      <c r="G521" s="82">
        <v>1000</v>
      </c>
      <c r="H521" s="82">
        <v>600</v>
      </c>
      <c r="I521" s="82">
        <v>600</v>
      </c>
      <c r="J521" s="99">
        <v>0</v>
      </c>
      <c r="K521" s="82">
        <v>600</v>
      </c>
    </row>
    <row r="522" spans="1:11" ht="12.75" hidden="1">
      <c r="A522" s="115"/>
      <c r="B522" s="27">
        <v>6058</v>
      </c>
      <c r="C522" s="18" t="s">
        <v>26</v>
      </c>
      <c r="D522" s="82">
        <v>0</v>
      </c>
      <c r="E522" s="99">
        <v>0</v>
      </c>
      <c r="F522" s="99">
        <v>0</v>
      </c>
      <c r="G522" s="82"/>
      <c r="H522" s="82"/>
      <c r="I522" s="82"/>
      <c r="J522" s="99">
        <v>0</v>
      </c>
      <c r="K522" s="82"/>
    </row>
    <row r="523" spans="1:11" ht="12.75" hidden="1">
      <c r="A523" s="115"/>
      <c r="B523" s="27">
        <v>6059</v>
      </c>
      <c r="C523" s="18" t="s">
        <v>26</v>
      </c>
      <c r="D523" s="82">
        <v>0</v>
      </c>
      <c r="E523" s="99">
        <v>0</v>
      </c>
      <c r="F523" s="99">
        <v>0</v>
      </c>
      <c r="G523" s="82"/>
      <c r="H523" s="82"/>
      <c r="I523" s="82"/>
      <c r="J523" s="99">
        <v>0</v>
      </c>
      <c r="K523" s="82"/>
    </row>
    <row r="524" spans="1:11" ht="12.75">
      <c r="A524" s="113">
        <v>926</v>
      </c>
      <c r="B524" s="89"/>
      <c r="C524" s="90" t="s">
        <v>108</v>
      </c>
      <c r="D524" s="91">
        <f aca="true" t="shared" si="66" ref="D524:J524">SUM(D525,D528,D541)</f>
        <v>2214800</v>
      </c>
      <c r="E524" s="103">
        <f t="shared" si="66"/>
        <v>413713.02</v>
      </c>
      <c r="F524" s="103">
        <f t="shared" si="66"/>
        <v>159273.77</v>
      </c>
      <c r="G524" s="91">
        <f t="shared" si="66"/>
        <v>246240</v>
      </c>
      <c r="H524" s="91">
        <f t="shared" si="66"/>
        <v>183798</v>
      </c>
      <c r="I524" s="91">
        <f t="shared" si="66"/>
        <v>1495604</v>
      </c>
      <c r="J524" s="103">
        <f t="shared" si="66"/>
        <v>145146.21</v>
      </c>
      <c r="K524" s="91">
        <f>SUM(K525,K528,K541)</f>
        <v>1495604</v>
      </c>
    </row>
    <row r="525" spans="1:11" ht="12.75">
      <c r="A525" s="114">
        <v>92601</v>
      </c>
      <c r="B525" s="26"/>
      <c r="C525" s="19" t="s">
        <v>109</v>
      </c>
      <c r="D525" s="92">
        <f aca="true" t="shared" si="67" ref="D525:J525">SUM(D526:D527)</f>
        <v>2020000</v>
      </c>
      <c r="E525" s="100">
        <f t="shared" si="67"/>
        <v>216290.45</v>
      </c>
      <c r="F525" s="100">
        <f t="shared" si="67"/>
        <v>10140</v>
      </c>
      <c r="G525" s="92">
        <f t="shared" si="67"/>
        <v>60140</v>
      </c>
      <c r="H525" s="92">
        <f t="shared" si="67"/>
        <v>0</v>
      </c>
      <c r="I525" s="92">
        <f t="shared" si="67"/>
        <v>1313000</v>
      </c>
      <c r="J525" s="100">
        <f t="shared" si="67"/>
        <v>20910</v>
      </c>
      <c r="K525" s="92">
        <f>SUM(K526:K527)</f>
        <v>1313000</v>
      </c>
    </row>
    <row r="526" spans="1:11" ht="12.75">
      <c r="A526" s="114"/>
      <c r="B526" s="151">
        <v>6050</v>
      </c>
      <c r="C526" s="18" t="s">
        <v>26</v>
      </c>
      <c r="D526" s="82">
        <v>2020000</v>
      </c>
      <c r="E526" s="99">
        <v>65041.45</v>
      </c>
      <c r="F526" s="99">
        <v>10140</v>
      </c>
      <c r="G526" s="82">
        <v>60140</v>
      </c>
      <c r="H526" s="82">
        <v>0</v>
      </c>
      <c r="I526" s="82">
        <v>1313000</v>
      </c>
      <c r="J526" s="99">
        <v>20910</v>
      </c>
      <c r="K526" s="82">
        <v>1313000</v>
      </c>
    </row>
    <row r="527" spans="1:11" ht="12.75" hidden="1">
      <c r="A527" s="114"/>
      <c r="B527" s="145">
        <v>6059</v>
      </c>
      <c r="C527" s="18" t="s">
        <v>26</v>
      </c>
      <c r="D527" s="82">
        <v>0</v>
      </c>
      <c r="E527" s="99">
        <v>151249</v>
      </c>
      <c r="F527" s="99">
        <v>0</v>
      </c>
      <c r="G527" s="82">
        <v>0</v>
      </c>
      <c r="H527" s="82">
        <v>0</v>
      </c>
      <c r="I527" s="82">
        <v>0</v>
      </c>
      <c r="J527" s="99">
        <v>0</v>
      </c>
      <c r="K527" s="82">
        <v>0</v>
      </c>
    </row>
    <row r="528" spans="1:11" ht="12.75">
      <c r="A528" s="114">
        <v>92605</v>
      </c>
      <c r="B528" s="26"/>
      <c r="C528" s="19" t="s">
        <v>110</v>
      </c>
      <c r="D528" s="92">
        <f aca="true" t="shared" si="68" ref="D528:J528">SUM(D529:D540)</f>
        <v>194800</v>
      </c>
      <c r="E528" s="100">
        <f t="shared" si="68"/>
        <v>197422.57</v>
      </c>
      <c r="F528" s="100">
        <f t="shared" si="68"/>
        <v>149133.77</v>
      </c>
      <c r="G528" s="92">
        <f t="shared" si="68"/>
        <v>186100</v>
      </c>
      <c r="H528" s="92">
        <f t="shared" si="68"/>
        <v>183798</v>
      </c>
      <c r="I528" s="92">
        <f t="shared" si="68"/>
        <v>182604</v>
      </c>
      <c r="J528" s="100">
        <f t="shared" si="68"/>
        <v>124236.20999999999</v>
      </c>
      <c r="K528" s="92">
        <f>SUM(K529:K540)</f>
        <v>182604</v>
      </c>
    </row>
    <row r="529" spans="1:11" ht="25.5">
      <c r="A529" s="114"/>
      <c r="B529" s="27">
        <v>2820</v>
      </c>
      <c r="C529" s="18" t="s">
        <v>111</v>
      </c>
      <c r="D529" s="82">
        <v>78500</v>
      </c>
      <c r="E529" s="99">
        <v>80000</v>
      </c>
      <c r="F529" s="99">
        <v>73500</v>
      </c>
      <c r="G529" s="82">
        <v>80000</v>
      </c>
      <c r="H529" s="82">
        <v>80000</v>
      </c>
      <c r="I529" s="82">
        <v>80000</v>
      </c>
      <c r="J529" s="99">
        <v>80000</v>
      </c>
      <c r="K529" s="82">
        <v>80000</v>
      </c>
    </row>
    <row r="530" spans="1:11" ht="12.75">
      <c r="A530" s="115"/>
      <c r="B530" s="27">
        <v>4110</v>
      </c>
      <c r="C530" s="18" t="s">
        <v>39</v>
      </c>
      <c r="D530" s="82">
        <v>4200</v>
      </c>
      <c r="E530" s="99">
        <v>2059.84</v>
      </c>
      <c r="F530" s="99">
        <v>1576.04</v>
      </c>
      <c r="G530" s="82">
        <v>2100</v>
      </c>
      <c r="H530" s="82">
        <v>2100</v>
      </c>
      <c r="I530" s="82">
        <v>2700</v>
      </c>
      <c r="J530" s="99">
        <v>1799.92</v>
      </c>
      <c r="K530" s="82">
        <v>2700</v>
      </c>
    </row>
    <row r="531" spans="1:11" ht="12.75">
      <c r="A531" s="115"/>
      <c r="B531" s="27">
        <v>4120</v>
      </c>
      <c r="C531" s="18" t="s">
        <v>40</v>
      </c>
      <c r="D531" s="82">
        <v>400</v>
      </c>
      <c r="E531" s="99">
        <v>262.77</v>
      </c>
      <c r="F531" s="99">
        <v>0</v>
      </c>
      <c r="G531" s="82">
        <v>400</v>
      </c>
      <c r="H531" s="82">
        <v>400</v>
      </c>
      <c r="I531" s="82">
        <v>400</v>
      </c>
      <c r="J531" s="99">
        <v>0</v>
      </c>
      <c r="K531" s="82">
        <v>400</v>
      </c>
    </row>
    <row r="532" spans="1:11" ht="12.75">
      <c r="A532" s="115"/>
      <c r="B532" s="27">
        <v>4170</v>
      </c>
      <c r="C532" s="18" t="s">
        <v>42</v>
      </c>
      <c r="D532" s="82">
        <v>32600</v>
      </c>
      <c r="E532" s="99">
        <v>30048</v>
      </c>
      <c r="F532" s="99">
        <v>23269.44</v>
      </c>
      <c r="G532" s="82">
        <v>32600</v>
      </c>
      <c r="H532" s="82">
        <v>32600</v>
      </c>
      <c r="I532" s="82">
        <v>32000</v>
      </c>
      <c r="J532" s="99">
        <v>21116.22</v>
      </c>
      <c r="K532" s="82">
        <v>32000</v>
      </c>
    </row>
    <row r="533" spans="1:11" ht="12.75">
      <c r="A533" s="115"/>
      <c r="B533" s="27">
        <v>4210</v>
      </c>
      <c r="C533" s="18" t="s">
        <v>14</v>
      </c>
      <c r="D533" s="82">
        <v>18000</v>
      </c>
      <c r="E533" s="99">
        <v>37536.11</v>
      </c>
      <c r="F533" s="99">
        <v>10547.63</v>
      </c>
      <c r="G533" s="82">
        <v>18000</v>
      </c>
      <c r="H533" s="82">
        <v>12000</v>
      </c>
      <c r="I533" s="82">
        <v>10604</v>
      </c>
      <c r="J533" s="99">
        <v>7188.64</v>
      </c>
      <c r="K533" s="82">
        <v>10604</v>
      </c>
    </row>
    <row r="534" spans="1:11" ht="12.75">
      <c r="A534" s="115"/>
      <c r="B534" s="27">
        <v>4260</v>
      </c>
      <c r="C534" s="18" t="s">
        <v>43</v>
      </c>
      <c r="D534" s="82">
        <v>36000</v>
      </c>
      <c r="E534" s="99">
        <v>28192.55</v>
      </c>
      <c r="F534" s="99">
        <v>23736.48</v>
      </c>
      <c r="G534" s="82">
        <v>33000</v>
      </c>
      <c r="H534" s="82">
        <v>33000</v>
      </c>
      <c r="I534" s="82">
        <v>27000</v>
      </c>
      <c r="J534" s="99">
        <v>12118.09</v>
      </c>
      <c r="K534" s="82">
        <v>27000</v>
      </c>
    </row>
    <row r="535" spans="1:11" ht="12.75">
      <c r="A535" s="115"/>
      <c r="B535" s="27">
        <v>4270</v>
      </c>
      <c r="C535" s="18" t="s">
        <v>24</v>
      </c>
      <c r="D535" s="82">
        <v>0</v>
      </c>
      <c r="E535" s="99">
        <v>0</v>
      </c>
      <c r="F535" s="99">
        <v>0</v>
      </c>
      <c r="G535" s="82">
        <v>0</v>
      </c>
      <c r="H535" s="82">
        <v>0</v>
      </c>
      <c r="I535" s="82">
        <v>10000</v>
      </c>
      <c r="J535" s="99">
        <v>0</v>
      </c>
      <c r="K535" s="82">
        <v>10000</v>
      </c>
    </row>
    <row r="536" spans="1:11" ht="12.75">
      <c r="A536" s="115"/>
      <c r="B536" s="27">
        <v>4300</v>
      </c>
      <c r="C536" s="18" t="s">
        <v>15</v>
      </c>
      <c r="D536" s="82">
        <v>14500</v>
      </c>
      <c r="E536" s="99">
        <v>16970.62</v>
      </c>
      <c r="F536" s="99">
        <v>7019.3</v>
      </c>
      <c r="G536" s="82">
        <v>10000</v>
      </c>
      <c r="H536" s="82">
        <f>5000+16798</f>
        <v>21798</v>
      </c>
      <c r="I536" s="82">
        <v>5000</v>
      </c>
      <c r="J536" s="99">
        <v>1126</v>
      </c>
      <c r="K536" s="82">
        <v>5000</v>
      </c>
    </row>
    <row r="537" spans="1:11" ht="25.5">
      <c r="A537" s="115"/>
      <c r="B537" s="27">
        <v>4370</v>
      </c>
      <c r="C537" s="18" t="s">
        <v>47</v>
      </c>
      <c r="D537" s="82">
        <v>2300</v>
      </c>
      <c r="E537" s="99">
        <v>2165.54</v>
      </c>
      <c r="F537" s="99">
        <v>1357.66</v>
      </c>
      <c r="G537" s="82">
        <v>1800</v>
      </c>
      <c r="H537" s="82">
        <v>1800</v>
      </c>
      <c r="I537" s="82">
        <v>1800</v>
      </c>
      <c r="J537" s="99">
        <v>444.54</v>
      </c>
      <c r="K537" s="82">
        <v>1800</v>
      </c>
    </row>
    <row r="538" spans="1:11" ht="12.75">
      <c r="A538" s="115"/>
      <c r="B538" s="27">
        <v>4430</v>
      </c>
      <c r="C538" s="18" t="s">
        <v>16</v>
      </c>
      <c r="D538" s="82">
        <v>100</v>
      </c>
      <c r="E538" s="99">
        <v>30</v>
      </c>
      <c r="F538" s="99">
        <v>0</v>
      </c>
      <c r="G538" s="82">
        <v>0</v>
      </c>
      <c r="H538" s="82">
        <v>100</v>
      </c>
      <c r="I538" s="82">
        <v>100</v>
      </c>
      <c r="J538" s="99">
        <v>0</v>
      </c>
      <c r="K538" s="82">
        <v>100</v>
      </c>
    </row>
    <row r="539" spans="1:11" ht="12.75">
      <c r="A539" s="115"/>
      <c r="B539" s="153">
        <v>6050</v>
      </c>
      <c r="C539" s="18" t="s">
        <v>26</v>
      </c>
      <c r="D539" s="82">
        <v>200</v>
      </c>
      <c r="E539" s="99">
        <v>157.14</v>
      </c>
      <c r="F539" s="99">
        <v>127.22</v>
      </c>
      <c r="G539" s="82">
        <v>200</v>
      </c>
      <c r="H539" s="82"/>
      <c r="I539" s="82">
        <v>13000</v>
      </c>
      <c r="J539" s="99">
        <v>442.8</v>
      </c>
      <c r="K539" s="82">
        <v>13000</v>
      </c>
    </row>
    <row r="540" spans="1:11" ht="12.75" hidden="1">
      <c r="A540" s="115"/>
      <c r="B540" s="145">
        <v>6060</v>
      </c>
      <c r="C540" s="18" t="s">
        <v>61</v>
      </c>
      <c r="D540" s="82">
        <v>8000</v>
      </c>
      <c r="E540" s="99">
        <v>0</v>
      </c>
      <c r="F540" s="99">
        <v>8000</v>
      </c>
      <c r="G540" s="82">
        <v>8000</v>
      </c>
      <c r="H540" s="82">
        <v>0</v>
      </c>
      <c r="I540" s="82">
        <v>0</v>
      </c>
      <c r="J540" s="99"/>
      <c r="K540" s="82">
        <v>0</v>
      </c>
    </row>
    <row r="541" spans="1:11" ht="12.75" hidden="1">
      <c r="A541" s="114">
        <v>92695</v>
      </c>
      <c r="B541" s="26"/>
      <c r="C541" s="19" t="s">
        <v>13</v>
      </c>
      <c r="D541" s="92">
        <f aca="true" t="shared" si="69" ref="D541:K541">SUM(D542:D542)</f>
        <v>0</v>
      </c>
      <c r="E541" s="100">
        <f t="shared" si="69"/>
        <v>0</v>
      </c>
      <c r="F541" s="100">
        <f t="shared" si="69"/>
        <v>0</v>
      </c>
      <c r="G541" s="92">
        <f t="shared" si="69"/>
        <v>0</v>
      </c>
      <c r="H541" s="92">
        <f t="shared" si="69"/>
        <v>0</v>
      </c>
      <c r="I541" s="92">
        <f t="shared" si="69"/>
        <v>0</v>
      </c>
      <c r="J541" s="100">
        <f t="shared" si="69"/>
        <v>0</v>
      </c>
      <c r="K541" s="92">
        <f t="shared" si="69"/>
        <v>0</v>
      </c>
    </row>
    <row r="542" spans="1:11" ht="12.75" hidden="1">
      <c r="A542" s="115"/>
      <c r="B542" s="27">
        <v>4430</v>
      </c>
      <c r="C542" s="18" t="s">
        <v>16</v>
      </c>
      <c r="D542" s="82">
        <v>0</v>
      </c>
      <c r="E542" s="99">
        <v>0</v>
      </c>
      <c r="F542" s="99">
        <v>0</v>
      </c>
      <c r="G542" s="82">
        <v>0</v>
      </c>
      <c r="H542" s="82">
        <f>F542+E542</f>
        <v>0</v>
      </c>
      <c r="I542" s="82">
        <f>G542+F542</f>
        <v>0</v>
      </c>
      <c r="J542" s="99">
        <v>0</v>
      </c>
      <c r="K542" s="82">
        <f>I542+H542</f>
        <v>0</v>
      </c>
    </row>
    <row r="543" spans="1:11" ht="12.75">
      <c r="A543" s="121"/>
      <c r="B543" s="122"/>
      <c r="C543" s="107" t="s">
        <v>112</v>
      </c>
      <c r="D543" s="108">
        <f aca="true" t="shared" si="70" ref="D543:K543">SUM(D544,D551,D568,D596,D599)</f>
        <v>4721434</v>
      </c>
      <c r="E543" s="109">
        <f t="shared" si="70"/>
        <v>3856726.3500000006</v>
      </c>
      <c r="F543" s="109">
        <f t="shared" si="70"/>
        <v>3669784.65</v>
      </c>
      <c r="G543" s="108">
        <f t="shared" si="70"/>
        <v>4721434</v>
      </c>
      <c r="H543" s="108">
        <f t="shared" si="70"/>
        <v>3808149</v>
      </c>
      <c r="I543" s="108">
        <f t="shared" si="70"/>
        <v>4050452</v>
      </c>
      <c r="J543" s="109">
        <f t="shared" si="70"/>
        <v>3324719.5500000003</v>
      </c>
      <c r="K543" s="108">
        <f t="shared" si="70"/>
        <v>4516181</v>
      </c>
    </row>
    <row r="544" spans="1:11" ht="12.75">
      <c r="A544" s="110" t="s">
        <v>4</v>
      </c>
      <c r="B544" s="89"/>
      <c r="C544" s="90" t="s">
        <v>5</v>
      </c>
      <c r="D544" s="91">
        <f aca="true" t="shared" si="71" ref="D544:K544">SUM(D545)</f>
        <v>139679</v>
      </c>
      <c r="E544" s="103">
        <f t="shared" si="71"/>
        <v>249544.34</v>
      </c>
      <c r="F544" s="103">
        <f t="shared" si="71"/>
        <v>138590.34</v>
      </c>
      <c r="G544" s="91">
        <f t="shared" si="71"/>
        <v>139679</v>
      </c>
      <c r="H544" s="91">
        <f t="shared" si="71"/>
        <v>0</v>
      </c>
      <c r="I544" s="91">
        <f t="shared" si="71"/>
        <v>163550</v>
      </c>
      <c r="J544" s="103">
        <f t="shared" si="71"/>
        <v>162372.33</v>
      </c>
      <c r="K544" s="91">
        <f t="shared" si="71"/>
        <v>163550</v>
      </c>
    </row>
    <row r="545" spans="1:11" ht="12.75">
      <c r="A545" s="111" t="s">
        <v>12</v>
      </c>
      <c r="B545" s="26"/>
      <c r="C545" s="19" t="s">
        <v>13</v>
      </c>
      <c r="D545" s="92">
        <f aca="true" t="shared" si="72" ref="D545:J545">SUM(D546:D550)</f>
        <v>139679</v>
      </c>
      <c r="E545" s="100">
        <f t="shared" si="72"/>
        <v>249544.34</v>
      </c>
      <c r="F545" s="100">
        <f t="shared" si="72"/>
        <v>138590.34</v>
      </c>
      <c r="G545" s="92">
        <f t="shared" si="72"/>
        <v>139679</v>
      </c>
      <c r="H545" s="92">
        <f t="shared" si="72"/>
        <v>0</v>
      </c>
      <c r="I545" s="92">
        <f t="shared" si="72"/>
        <v>163550</v>
      </c>
      <c r="J545" s="100">
        <f t="shared" si="72"/>
        <v>162372.33</v>
      </c>
      <c r="K545" s="92">
        <f>SUM(K546:K550)</f>
        <v>163550</v>
      </c>
    </row>
    <row r="546" spans="1:11" ht="12.75">
      <c r="A546" s="111"/>
      <c r="B546" s="27">
        <v>4210</v>
      </c>
      <c r="C546" s="134" t="s">
        <v>14</v>
      </c>
      <c r="D546" s="135">
        <v>344</v>
      </c>
      <c r="E546" s="136">
        <v>250</v>
      </c>
      <c r="F546" s="136">
        <v>114.81</v>
      </c>
      <c r="G546" s="135">
        <v>344</v>
      </c>
      <c r="H546" s="135">
        <v>0</v>
      </c>
      <c r="I546" s="135">
        <v>1000</v>
      </c>
      <c r="J546" s="136">
        <v>222.46</v>
      </c>
      <c r="K546" s="135">
        <v>1000</v>
      </c>
    </row>
    <row r="547" spans="1:11" ht="12.75">
      <c r="A547" s="111"/>
      <c r="B547" s="27">
        <v>4270</v>
      </c>
      <c r="C547" s="18" t="s">
        <v>24</v>
      </c>
      <c r="D547" s="135"/>
      <c r="E547" s="136"/>
      <c r="F547" s="136"/>
      <c r="G547" s="135"/>
      <c r="H547" s="135"/>
      <c r="I547" s="135">
        <v>220</v>
      </c>
      <c r="J547" s="136">
        <v>220</v>
      </c>
      <c r="K547" s="135">
        <v>220</v>
      </c>
    </row>
    <row r="548" spans="1:11" ht="12.75">
      <c r="A548" s="115"/>
      <c r="B548" s="27">
        <v>4300</v>
      </c>
      <c r="C548" s="134" t="s">
        <v>15</v>
      </c>
      <c r="D548" s="93">
        <v>2367</v>
      </c>
      <c r="E548" s="102">
        <v>3288.3</v>
      </c>
      <c r="F548" s="102">
        <v>1508.55</v>
      </c>
      <c r="G548" s="93">
        <v>2367</v>
      </c>
      <c r="H548" s="141">
        <v>0</v>
      </c>
      <c r="I548" s="141">
        <v>1987</v>
      </c>
      <c r="J548" s="102">
        <v>1587.65</v>
      </c>
      <c r="K548" s="141">
        <v>1987</v>
      </c>
    </row>
    <row r="549" spans="1:11" ht="12.75">
      <c r="A549" s="115"/>
      <c r="B549" s="27">
        <v>4430</v>
      </c>
      <c r="C549" s="134" t="s">
        <v>16</v>
      </c>
      <c r="D549" s="93">
        <v>136968</v>
      </c>
      <c r="E549" s="102">
        <v>246006.04</v>
      </c>
      <c r="F549" s="102">
        <v>136966.98</v>
      </c>
      <c r="G549" s="93">
        <v>136968</v>
      </c>
      <c r="H549" s="141">
        <v>0</v>
      </c>
      <c r="I549" s="141">
        <v>160343</v>
      </c>
      <c r="J549" s="102">
        <v>160342.22</v>
      </c>
      <c r="K549" s="141">
        <v>160343</v>
      </c>
    </row>
    <row r="550" spans="1:11" ht="12.75" hidden="1">
      <c r="A550" s="115"/>
      <c r="B550" s="27"/>
      <c r="C550" s="134"/>
      <c r="D550" s="93"/>
      <c r="E550" s="102"/>
      <c r="F550" s="102"/>
      <c r="G550" s="93"/>
      <c r="H550" s="141"/>
      <c r="I550" s="141"/>
      <c r="J550" s="102"/>
      <c r="K550" s="141"/>
    </row>
    <row r="551" spans="1:11" ht="12.75">
      <c r="A551" s="113">
        <v>750</v>
      </c>
      <c r="B551" s="89"/>
      <c r="C551" s="90"/>
      <c r="D551" s="91">
        <f aca="true" t="shared" si="73" ref="D551:J551">D552+D558</f>
        <v>112266</v>
      </c>
      <c r="E551" s="103">
        <f t="shared" si="73"/>
        <v>84000</v>
      </c>
      <c r="F551" s="103">
        <f t="shared" si="73"/>
        <v>82357.98</v>
      </c>
      <c r="G551" s="91">
        <f t="shared" si="73"/>
        <v>112266</v>
      </c>
      <c r="H551" s="91">
        <f t="shared" si="73"/>
        <v>84000</v>
      </c>
      <c r="I551" s="91">
        <f t="shared" si="73"/>
        <v>109995</v>
      </c>
      <c r="J551" s="103">
        <f t="shared" si="73"/>
        <v>90766.23999999999</v>
      </c>
      <c r="K551" s="91">
        <f>K552+K558</f>
        <v>109995</v>
      </c>
    </row>
    <row r="552" spans="1:11" ht="12.75">
      <c r="A552" s="114">
        <v>75011</v>
      </c>
      <c r="B552" s="26"/>
      <c r="C552" s="19" t="s">
        <v>113</v>
      </c>
      <c r="D552" s="92">
        <f aca="true" t="shared" si="74" ref="D552:J552">SUM(D553:D557)</f>
        <v>84000</v>
      </c>
      <c r="E552" s="100">
        <f t="shared" si="74"/>
        <v>84000</v>
      </c>
      <c r="F552" s="100">
        <f t="shared" si="74"/>
        <v>62956</v>
      </c>
      <c r="G552" s="92">
        <f t="shared" si="74"/>
        <v>84000</v>
      </c>
      <c r="H552" s="92">
        <f t="shared" si="74"/>
        <v>84000</v>
      </c>
      <c r="I552" s="92">
        <f t="shared" si="74"/>
        <v>84000</v>
      </c>
      <c r="J552" s="100">
        <f t="shared" si="74"/>
        <v>65112</v>
      </c>
      <c r="K552" s="92">
        <f>SUM(K553:K557)</f>
        <v>84000</v>
      </c>
    </row>
    <row r="553" spans="1:11" ht="12.75">
      <c r="A553" s="115"/>
      <c r="B553" s="27">
        <v>4010</v>
      </c>
      <c r="C553" s="18" t="s">
        <v>37</v>
      </c>
      <c r="D553" s="82">
        <v>60621</v>
      </c>
      <c r="E553" s="99">
        <v>60764</v>
      </c>
      <c r="F553" s="99">
        <v>43941.07</v>
      </c>
      <c r="G553" s="82">
        <v>60621</v>
      </c>
      <c r="H553" s="82">
        <v>60621</v>
      </c>
      <c r="I553" s="82">
        <v>61029</v>
      </c>
      <c r="J553" s="99">
        <v>47058.8</v>
      </c>
      <c r="K553" s="82">
        <v>61029</v>
      </c>
    </row>
    <row r="554" spans="1:11" ht="12.75">
      <c r="A554" s="115"/>
      <c r="B554" s="27">
        <v>4040</v>
      </c>
      <c r="C554" s="18" t="s">
        <v>38</v>
      </c>
      <c r="D554" s="82">
        <v>8070</v>
      </c>
      <c r="E554" s="99">
        <v>8070</v>
      </c>
      <c r="F554" s="99">
        <v>8070</v>
      </c>
      <c r="G554" s="82">
        <v>8070</v>
      </c>
      <c r="H554" s="82">
        <v>8070</v>
      </c>
      <c r="I554" s="82">
        <v>8070</v>
      </c>
      <c r="J554" s="99">
        <v>8070</v>
      </c>
      <c r="K554" s="82">
        <v>8070</v>
      </c>
    </row>
    <row r="555" spans="1:11" ht="12.75">
      <c r="A555" s="115"/>
      <c r="B555" s="27">
        <v>4110</v>
      </c>
      <c r="C555" s="18" t="s">
        <v>39</v>
      </c>
      <c r="D555" s="82">
        <v>10396</v>
      </c>
      <c r="E555" s="99">
        <v>10396</v>
      </c>
      <c r="F555" s="99">
        <v>6712.77</v>
      </c>
      <c r="G555" s="82">
        <v>10396</v>
      </c>
      <c r="H555" s="82">
        <v>10396</v>
      </c>
      <c r="I555" s="82">
        <v>10396</v>
      </c>
      <c r="J555" s="99">
        <v>6977.71</v>
      </c>
      <c r="K555" s="82">
        <v>10396</v>
      </c>
    </row>
    <row r="556" spans="1:11" ht="12.75">
      <c r="A556" s="115"/>
      <c r="B556" s="27">
        <v>4120</v>
      </c>
      <c r="C556" s="18" t="s">
        <v>40</v>
      </c>
      <c r="D556" s="82">
        <v>1770</v>
      </c>
      <c r="E556" s="99">
        <v>1770</v>
      </c>
      <c r="F556" s="99">
        <v>1089.16</v>
      </c>
      <c r="G556" s="82">
        <v>1770</v>
      </c>
      <c r="H556" s="82">
        <v>1770</v>
      </c>
      <c r="I556" s="82">
        <v>1770</v>
      </c>
      <c r="J556" s="99">
        <v>270.49</v>
      </c>
      <c r="K556" s="82">
        <v>1770</v>
      </c>
    </row>
    <row r="557" spans="1:11" ht="12.75">
      <c r="A557" s="115"/>
      <c r="B557" s="27">
        <v>4440</v>
      </c>
      <c r="C557" s="18" t="s">
        <v>50</v>
      </c>
      <c r="D557" s="82">
        <v>3143</v>
      </c>
      <c r="E557" s="99">
        <v>3000</v>
      </c>
      <c r="F557" s="99">
        <v>3143</v>
      </c>
      <c r="G557" s="82">
        <v>3143</v>
      </c>
      <c r="H557" s="82">
        <v>3143</v>
      </c>
      <c r="I557" s="82">
        <v>2735</v>
      </c>
      <c r="J557" s="99">
        <v>2735</v>
      </c>
      <c r="K557" s="82">
        <v>2735</v>
      </c>
    </row>
    <row r="558" spans="1:11" ht="12.75">
      <c r="A558" s="114">
        <v>75056</v>
      </c>
      <c r="B558" s="26"/>
      <c r="C558" s="19" t="s">
        <v>166</v>
      </c>
      <c r="D558" s="92">
        <f>SUM(D560:D564)</f>
        <v>28266</v>
      </c>
      <c r="E558" s="100">
        <f>SUM(E560:E564)</f>
        <v>0</v>
      </c>
      <c r="F558" s="100">
        <f>SUM(F560:F564)</f>
        <v>19401.98</v>
      </c>
      <c r="G558" s="92">
        <f>SUM(G560:G564)</f>
        <v>28266</v>
      </c>
      <c r="H558" s="92">
        <f>SUM(H560:H564)</f>
        <v>0</v>
      </c>
      <c r="I558" s="92">
        <f>SUM(I559:I567)</f>
        <v>25995</v>
      </c>
      <c r="J558" s="100">
        <f>SUM(J559:J567)</f>
        <v>25654.239999999998</v>
      </c>
      <c r="K558" s="92">
        <f>SUM(K559:K567)</f>
        <v>25995</v>
      </c>
    </row>
    <row r="559" spans="1:11" ht="12.75">
      <c r="A559" s="114"/>
      <c r="B559" s="27">
        <v>3020</v>
      </c>
      <c r="C559" s="164" t="s">
        <v>180</v>
      </c>
      <c r="D559" s="92"/>
      <c r="E559" s="100"/>
      <c r="F559" s="100"/>
      <c r="G559" s="92"/>
      <c r="H559" s="92"/>
      <c r="I559" s="81">
        <v>20817</v>
      </c>
      <c r="J559" s="101">
        <v>20816.33</v>
      </c>
      <c r="K559" s="81">
        <v>20817</v>
      </c>
    </row>
    <row r="560" spans="1:11" ht="12.75" hidden="1">
      <c r="A560" s="115"/>
      <c r="B560" s="27">
        <v>3030</v>
      </c>
      <c r="C560" s="18" t="s">
        <v>34</v>
      </c>
      <c r="D560" s="82">
        <v>21000</v>
      </c>
      <c r="E560" s="99">
        <v>0</v>
      </c>
      <c r="F560" s="99">
        <v>15528</v>
      </c>
      <c r="G560" s="82">
        <v>21000</v>
      </c>
      <c r="H560" s="82">
        <v>0</v>
      </c>
      <c r="I560" s="82">
        <v>0</v>
      </c>
      <c r="J560" s="99"/>
      <c r="K560" s="82">
        <v>0</v>
      </c>
    </row>
    <row r="561" spans="1:11" ht="25.5" hidden="1">
      <c r="A561" s="115"/>
      <c r="B561" s="27">
        <v>3040</v>
      </c>
      <c r="C561" s="18" t="s">
        <v>167</v>
      </c>
      <c r="D561" s="82">
        <v>1566</v>
      </c>
      <c r="E561" s="99">
        <v>0</v>
      </c>
      <c r="F561" s="99">
        <v>1139.68</v>
      </c>
      <c r="G561" s="82">
        <v>1566</v>
      </c>
      <c r="H561" s="82">
        <v>0</v>
      </c>
      <c r="I561" s="82">
        <v>0</v>
      </c>
      <c r="J561" s="99"/>
      <c r="K561" s="82">
        <v>0</v>
      </c>
    </row>
    <row r="562" spans="1:11" ht="12.75">
      <c r="A562" s="115"/>
      <c r="B562" s="27">
        <v>4110</v>
      </c>
      <c r="C562" s="18" t="s">
        <v>39</v>
      </c>
      <c r="D562" s="82">
        <v>3408</v>
      </c>
      <c r="E562" s="99">
        <v>0</v>
      </c>
      <c r="F562" s="99">
        <v>1902.6</v>
      </c>
      <c r="G562" s="82">
        <v>3408</v>
      </c>
      <c r="H562" s="82">
        <v>0</v>
      </c>
      <c r="I562" s="82">
        <v>1342</v>
      </c>
      <c r="J562" s="99">
        <v>1341.8</v>
      </c>
      <c r="K562" s="82">
        <v>1342</v>
      </c>
    </row>
    <row r="563" spans="1:11" ht="12.75">
      <c r="A563" s="115"/>
      <c r="B563" s="27">
        <v>4120</v>
      </c>
      <c r="C563" s="18" t="s">
        <v>40</v>
      </c>
      <c r="D563" s="82">
        <v>289</v>
      </c>
      <c r="E563" s="99">
        <v>0</v>
      </c>
      <c r="F563" s="99">
        <v>161.7</v>
      </c>
      <c r="G563" s="82">
        <v>289</v>
      </c>
      <c r="H563" s="82">
        <v>0</v>
      </c>
      <c r="I563" s="82">
        <v>101</v>
      </c>
      <c r="J563" s="99">
        <v>98.42</v>
      </c>
      <c r="K563" s="82">
        <v>101</v>
      </c>
    </row>
    <row r="564" spans="1:11" ht="12.75">
      <c r="A564" s="115"/>
      <c r="B564" s="27">
        <v>4170</v>
      </c>
      <c r="C564" s="18" t="s">
        <v>42</v>
      </c>
      <c r="D564" s="82">
        <v>2003</v>
      </c>
      <c r="E564" s="99">
        <v>0</v>
      </c>
      <c r="F564" s="99">
        <v>670</v>
      </c>
      <c r="G564" s="82">
        <v>2003</v>
      </c>
      <c r="H564" s="82">
        <v>0</v>
      </c>
      <c r="I564" s="82">
        <v>2936</v>
      </c>
      <c r="J564" s="99">
        <v>2936</v>
      </c>
      <c r="K564" s="82">
        <v>2936</v>
      </c>
    </row>
    <row r="565" spans="1:11" ht="12.75">
      <c r="A565" s="115"/>
      <c r="B565" s="27">
        <v>4210</v>
      </c>
      <c r="C565" s="18" t="s">
        <v>14</v>
      </c>
      <c r="D565" s="82"/>
      <c r="E565" s="99"/>
      <c r="F565" s="99"/>
      <c r="G565" s="82"/>
      <c r="H565" s="82"/>
      <c r="I565" s="81">
        <v>592</v>
      </c>
      <c r="J565" s="99">
        <v>255.53</v>
      </c>
      <c r="K565" s="81">
        <v>592</v>
      </c>
    </row>
    <row r="566" spans="1:11" ht="12.75">
      <c r="A566" s="115"/>
      <c r="B566" s="27">
        <v>4300</v>
      </c>
      <c r="C566" s="18" t="s">
        <v>15</v>
      </c>
      <c r="D566" s="82"/>
      <c r="E566" s="99"/>
      <c r="F566" s="99"/>
      <c r="G566" s="82"/>
      <c r="H566" s="82"/>
      <c r="I566" s="81">
        <v>116</v>
      </c>
      <c r="J566" s="99">
        <v>115.62</v>
      </c>
      <c r="K566" s="81">
        <v>116</v>
      </c>
    </row>
    <row r="567" spans="1:11" ht="12.75">
      <c r="A567" s="115"/>
      <c r="B567" s="27">
        <v>4410</v>
      </c>
      <c r="C567" s="18" t="s">
        <v>48</v>
      </c>
      <c r="D567" s="82"/>
      <c r="E567" s="99"/>
      <c r="F567" s="99"/>
      <c r="G567" s="82"/>
      <c r="H567" s="82"/>
      <c r="I567" s="81">
        <v>91</v>
      </c>
      <c r="J567" s="99">
        <v>90.54</v>
      </c>
      <c r="K567" s="81">
        <v>91</v>
      </c>
    </row>
    <row r="568" spans="1:11" ht="25.5">
      <c r="A568" s="113">
        <v>751</v>
      </c>
      <c r="B568" s="89"/>
      <c r="C568" s="90" t="s">
        <v>114</v>
      </c>
      <c r="D568" s="91">
        <f>SUM(D569+D575+D587)</f>
        <v>12911</v>
      </c>
      <c r="E568" s="103">
        <f>SUM(E569+E575+E587)</f>
        <v>32562.940000000002</v>
      </c>
      <c r="F568" s="103">
        <f>SUM(F569+F575+F587)</f>
        <v>11786.18</v>
      </c>
      <c r="G568" s="91">
        <f>SUM(G569+G575+G587)</f>
        <v>12911</v>
      </c>
      <c r="H568" s="91">
        <f>SUM(H569+H575+H576+H583+H595)</f>
        <v>1840</v>
      </c>
      <c r="I568" s="91">
        <f>SUM(I569+I575+I576+I583+I595)</f>
        <v>14990</v>
      </c>
      <c r="J568" s="103">
        <f>SUM(J569+J575+J576+J583+J595)</f>
        <v>3306.99</v>
      </c>
      <c r="K568" s="91">
        <f>SUM(K569+K575+K576+K583+K595)</f>
        <v>25490</v>
      </c>
    </row>
    <row r="569" spans="1:11" ht="25.5">
      <c r="A569" s="114">
        <v>75101</v>
      </c>
      <c r="B569" s="26"/>
      <c r="C569" s="19" t="s">
        <v>115</v>
      </c>
      <c r="D569" s="92">
        <f>SUM(D570:D573)</f>
        <v>1840</v>
      </c>
      <c r="E569" s="100">
        <f>SUM(E570:E573)</f>
        <v>1800</v>
      </c>
      <c r="F569" s="100">
        <f>SUM(F570:F573)</f>
        <v>719.51</v>
      </c>
      <c r="G569" s="92">
        <f>SUM(G570:G573)</f>
        <v>1840</v>
      </c>
      <c r="H569" s="92">
        <f>SUM(H570:H573)</f>
        <v>1840</v>
      </c>
      <c r="I569" s="92">
        <f>SUM(I570:I574)</f>
        <v>1840</v>
      </c>
      <c r="J569" s="100">
        <f>SUM(J570:J574)</f>
        <v>0</v>
      </c>
      <c r="K569" s="92">
        <f>SUM(K570:K574)</f>
        <v>1840</v>
      </c>
    </row>
    <row r="570" spans="1:11" ht="12.75" hidden="1">
      <c r="A570" s="114"/>
      <c r="B570" s="27">
        <v>4010</v>
      </c>
      <c r="C570" s="27" t="s">
        <v>37</v>
      </c>
      <c r="D570" s="82">
        <v>0</v>
      </c>
      <c r="E570" s="99">
        <v>1506</v>
      </c>
      <c r="F570" s="99"/>
      <c r="G570" s="82">
        <v>0</v>
      </c>
      <c r="H570" s="82">
        <v>0</v>
      </c>
      <c r="I570" s="82">
        <v>0</v>
      </c>
      <c r="J570" s="99">
        <v>0</v>
      </c>
      <c r="K570" s="82">
        <v>0</v>
      </c>
    </row>
    <row r="571" spans="1:11" ht="12.75">
      <c r="A571" s="115"/>
      <c r="B571" s="27">
        <v>4110</v>
      </c>
      <c r="C571" s="18" t="s">
        <v>39</v>
      </c>
      <c r="D571" s="82">
        <v>263</v>
      </c>
      <c r="E571" s="99">
        <v>257</v>
      </c>
      <c r="F571" s="99">
        <v>85.84</v>
      </c>
      <c r="G571" s="82">
        <v>263</v>
      </c>
      <c r="H571" s="82">
        <v>263</v>
      </c>
      <c r="I571" s="82">
        <v>263</v>
      </c>
      <c r="J571" s="99">
        <v>0</v>
      </c>
      <c r="K571" s="82">
        <v>108</v>
      </c>
    </row>
    <row r="572" spans="1:11" ht="12.75">
      <c r="A572" s="115"/>
      <c r="B572" s="27">
        <v>4120</v>
      </c>
      <c r="C572" s="18" t="s">
        <v>40</v>
      </c>
      <c r="D572" s="82">
        <v>38</v>
      </c>
      <c r="E572" s="99">
        <v>37</v>
      </c>
      <c r="F572" s="99">
        <v>13.92</v>
      </c>
      <c r="G572" s="82">
        <v>38</v>
      </c>
      <c r="H572" s="82">
        <v>38</v>
      </c>
      <c r="I572" s="82">
        <v>38</v>
      </c>
      <c r="J572" s="99">
        <v>0</v>
      </c>
      <c r="K572" s="82">
        <v>17</v>
      </c>
    </row>
    <row r="573" spans="1:11" ht="12.75">
      <c r="A573" s="115"/>
      <c r="B573" s="27">
        <v>4170</v>
      </c>
      <c r="C573" s="18" t="s">
        <v>42</v>
      </c>
      <c r="D573" s="82">
        <v>1539</v>
      </c>
      <c r="E573" s="99">
        <v>0</v>
      </c>
      <c r="F573" s="99">
        <v>619.75</v>
      </c>
      <c r="G573" s="82">
        <v>1539</v>
      </c>
      <c r="H573" s="82">
        <v>1539</v>
      </c>
      <c r="I573" s="82">
        <v>1539</v>
      </c>
      <c r="J573" s="99">
        <v>0</v>
      </c>
      <c r="K573" s="82">
        <v>715</v>
      </c>
    </row>
    <row r="574" spans="1:11" ht="12.75">
      <c r="A574" s="115"/>
      <c r="B574" s="27">
        <v>4210</v>
      </c>
      <c r="C574" s="18" t="s">
        <v>14</v>
      </c>
      <c r="D574" s="82"/>
      <c r="E574" s="99"/>
      <c r="F574" s="99"/>
      <c r="G574" s="82"/>
      <c r="H574" s="82"/>
      <c r="I574" s="82">
        <v>0</v>
      </c>
      <c r="J574" s="99">
        <v>0</v>
      </c>
      <c r="K574" s="82">
        <v>1000</v>
      </c>
    </row>
    <row r="575" spans="1:11" ht="12.75" hidden="1">
      <c r="A575" s="114">
        <v>75107</v>
      </c>
      <c r="B575" s="26"/>
      <c r="C575" s="19" t="s">
        <v>168</v>
      </c>
      <c r="D575" s="92">
        <f aca="true" t="shared" si="75" ref="D575:H576">SUM(D579:D586)</f>
        <v>11071</v>
      </c>
      <c r="E575" s="100">
        <f t="shared" si="75"/>
        <v>30157.83</v>
      </c>
      <c r="F575" s="100">
        <f t="shared" si="75"/>
        <v>11066.67</v>
      </c>
      <c r="G575" s="92">
        <f t="shared" si="75"/>
        <v>11071</v>
      </c>
      <c r="H575" s="92">
        <f t="shared" si="75"/>
        <v>0</v>
      </c>
      <c r="I575" s="92">
        <v>0</v>
      </c>
      <c r="J575" s="100">
        <v>0</v>
      </c>
      <c r="K575" s="92">
        <v>0</v>
      </c>
    </row>
    <row r="576" spans="1:11" ht="12.75">
      <c r="A576" s="114">
        <v>75108</v>
      </c>
      <c r="B576" s="26"/>
      <c r="C576" s="19" t="s">
        <v>181</v>
      </c>
      <c r="D576" s="92">
        <f t="shared" si="75"/>
        <v>10899</v>
      </c>
      <c r="E576" s="100">
        <f t="shared" si="75"/>
        <v>30762.940000000002</v>
      </c>
      <c r="F576" s="100">
        <f t="shared" si="75"/>
        <v>10895.5</v>
      </c>
      <c r="G576" s="92">
        <f t="shared" si="75"/>
        <v>10899</v>
      </c>
      <c r="H576" s="92">
        <f t="shared" si="75"/>
        <v>0</v>
      </c>
      <c r="I576" s="92">
        <f>SUM(I577:I582)</f>
        <v>9222</v>
      </c>
      <c r="J576" s="100">
        <f>SUM(J577:J582)</f>
        <v>0</v>
      </c>
      <c r="K576" s="92">
        <f>SUM(K577:K582)</f>
        <v>19722</v>
      </c>
    </row>
    <row r="577" spans="1:11" ht="12.75">
      <c r="A577" s="114"/>
      <c r="B577" s="27">
        <v>3030</v>
      </c>
      <c r="C577" s="18" t="s">
        <v>34</v>
      </c>
      <c r="D577" s="92"/>
      <c r="E577" s="100"/>
      <c r="F577" s="100"/>
      <c r="G577" s="92"/>
      <c r="H577" s="92"/>
      <c r="I577" s="81">
        <v>0</v>
      </c>
      <c r="J577" s="101">
        <v>0</v>
      </c>
      <c r="K577" s="81">
        <v>10500</v>
      </c>
    </row>
    <row r="578" spans="1:11" ht="12.75">
      <c r="A578" s="114"/>
      <c r="B578" s="27">
        <v>4110</v>
      </c>
      <c r="C578" s="18" t="s">
        <v>39</v>
      </c>
      <c r="D578" s="82">
        <v>1055</v>
      </c>
      <c r="E578" s="99">
        <v>0</v>
      </c>
      <c r="F578" s="99">
        <v>1054.94</v>
      </c>
      <c r="G578" s="82">
        <v>1055</v>
      </c>
      <c r="H578" s="82">
        <v>0</v>
      </c>
      <c r="I578" s="82">
        <v>803</v>
      </c>
      <c r="J578" s="99">
        <v>0</v>
      </c>
      <c r="K578" s="82">
        <v>775</v>
      </c>
    </row>
    <row r="579" spans="1:11" ht="12.75">
      <c r="A579" s="115"/>
      <c r="B579" s="27">
        <v>4120</v>
      </c>
      <c r="C579" s="18" t="s">
        <v>40</v>
      </c>
      <c r="D579" s="82">
        <v>172</v>
      </c>
      <c r="E579" s="99">
        <v>0</v>
      </c>
      <c r="F579" s="99">
        <v>171.17</v>
      </c>
      <c r="G579" s="82">
        <v>172</v>
      </c>
      <c r="H579" s="82">
        <v>0</v>
      </c>
      <c r="I579" s="82">
        <v>130</v>
      </c>
      <c r="J579" s="99">
        <v>0</v>
      </c>
      <c r="K579" s="82">
        <v>66</v>
      </c>
    </row>
    <row r="580" spans="1:11" ht="12.75">
      <c r="A580" s="115"/>
      <c r="B580" s="27">
        <v>4170</v>
      </c>
      <c r="C580" s="18" t="s">
        <v>42</v>
      </c>
      <c r="D580" s="82">
        <v>7678</v>
      </c>
      <c r="E580" s="99">
        <v>0</v>
      </c>
      <c r="F580" s="99">
        <v>7676.5</v>
      </c>
      <c r="G580" s="82">
        <v>7678</v>
      </c>
      <c r="H580" s="82">
        <v>0</v>
      </c>
      <c r="I580" s="82">
        <v>5314</v>
      </c>
      <c r="J580" s="99">
        <v>0</v>
      </c>
      <c r="K580" s="82">
        <v>5882</v>
      </c>
    </row>
    <row r="581" spans="1:11" ht="12.75">
      <c r="A581" s="115"/>
      <c r="B581" s="27">
        <v>4210</v>
      </c>
      <c r="C581" s="18" t="s">
        <v>14</v>
      </c>
      <c r="D581" s="82">
        <v>2004</v>
      </c>
      <c r="E581" s="99">
        <v>0</v>
      </c>
      <c r="F581" s="99">
        <v>2003.74</v>
      </c>
      <c r="G581" s="82">
        <v>2004</v>
      </c>
      <c r="H581" s="82">
        <v>0</v>
      </c>
      <c r="I581" s="82">
        <v>2100</v>
      </c>
      <c r="J581" s="99">
        <v>0</v>
      </c>
      <c r="K581" s="82">
        <v>2315</v>
      </c>
    </row>
    <row r="582" spans="1:11" ht="12.75">
      <c r="A582" s="115"/>
      <c r="B582" s="27">
        <v>4300</v>
      </c>
      <c r="C582" s="18" t="s">
        <v>15</v>
      </c>
      <c r="D582" s="82">
        <v>160</v>
      </c>
      <c r="E582" s="99">
        <v>0</v>
      </c>
      <c r="F582" s="99">
        <v>160</v>
      </c>
      <c r="G582" s="82">
        <v>160</v>
      </c>
      <c r="H582" s="82">
        <v>0</v>
      </c>
      <c r="I582" s="82">
        <v>875</v>
      </c>
      <c r="J582" s="99">
        <v>0</v>
      </c>
      <c r="K582" s="82">
        <v>184</v>
      </c>
    </row>
    <row r="583" spans="1:11" ht="12.75">
      <c r="A583" s="114">
        <v>75109</v>
      </c>
      <c r="B583" s="26"/>
      <c r="C583" s="19" t="s">
        <v>182</v>
      </c>
      <c r="D583" s="82">
        <v>690</v>
      </c>
      <c r="E583" s="99">
        <v>0</v>
      </c>
      <c r="F583" s="99">
        <v>688.72</v>
      </c>
      <c r="G583" s="82">
        <v>690</v>
      </c>
      <c r="H583" s="92">
        <f>SUM(H584:H589)</f>
        <v>0</v>
      </c>
      <c r="I583" s="92">
        <f>SUM(I584:I589)</f>
        <v>3928</v>
      </c>
      <c r="J583" s="100">
        <f>SUM(J584:J589)</f>
        <v>3306.99</v>
      </c>
      <c r="K583" s="92">
        <f>SUM(K584:K589)</f>
        <v>3928</v>
      </c>
    </row>
    <row r="584" spans="1:11" ht="12.75">
      <c r="A584" s="115"/>
      <c r="B584" s="27">
        <v>3030</v>
      </c>
      <c r="C584" s="18" t="s">
        <v>34</v>
      </c>
      <c r="D584" s="82">
        <v>367</v>
      </c>
      <c r="E584" s="99">
        <v>0</v>
      </c>
      <c r="F584" s="99">
        <v>366.54</v>
      </c>
      <c r="G584" s="82">
        <v>367</v>
      </c>
      <c r="H584" s="82">
        <v>0</v>
      </c>
      <c r="I584" s="82">
        <v>2460</v>
      </c>
      <c r="J584" s="99">
        <v>2190</v>
      </c>
      <c r="K584" s="82">
        <v>2460</v>
      </c>
    </row>
    <row r="585" spans="1:11" ht="12.75">
      <c r="A585" s="115"/>
      <c r="B585" s="27">
        <v>4110</v>
      </c>
      <c r="C585" s="18" t="s">
        <v>39</v>
      </c>
      <c r="D585" s="92">
        <f>SUM(D586:D592)</f>
        <v>0</v>
      </c>
      <c r="E585" s="100">
        <f>SUM(E586:E592)</f>
        <v>20662.83</v>
      </c>
      <c r="F585" s="100">
        <f>SUM(F586:F592)</f>
        <v>0</v>
      </c>
      <c r="G585" s="92">
        <f>SUM(G586:G592)</f>
        <v>0</v>
      </c>
      <c r="H585" s="81">
        <f>SUM(H586:H592)</f>
        <v>0</v>
      </c>
      <c r="I585" s="81">
        <v>125</v>
      </c>
      <c r="J585" s="101">
        <v>0</v>
      </c>
      <c r="K585" s="81">
        <v>125</v>
      </c>
    </row>
    <row r="586" spans="1:11" ht="12.75" hidden="1">
      <c r="A586" s="115"/>
      <c r="B586" s="27">
        <v>4120</v>
      </c>
      <c r="C586" s="18" t="s">
        <v>40</v>
      </c>
      <c r="D586" s="82">
        <v>0</v>
      </c>
      <c r="E586" s="99">
        <v>9495</v>
      </c>
      <c r="F586" s="99">
        <v>0</v>
      </c>
      <c r="G586" s="82">
        <v>0</v>
      </c>
      <c r="H586" s="82">
        <v>0</v>
      </c>
      <c r="I586" s="82">
        <v>0</v>
      </c>
      <c r="J586" s="99">
        <v>0</v>
      </c>
      <c r="K586" s="82">
        <v>0</v>
      </c>
    </row>
    <row r="587" spans="1:11" ht="12.75">
      <c r="A587" s="115"/>
      <c r="B587" s="27">
        <v>4170</v>
      </c>
      <c r="C587" s="18" t="s">
        <v>42</v>
      </c>
      <c r="D587" s="82">
        <v>0</v>
      </c>
      <c r="E587" s="102">
        <v>605.11</v>
      </c>
      <c r="F587" s="102">
        <v>0</v>
      </c>
      <c r="G587" s="82">
        <v>0</v>
      </c>
      <c r="H587" s="82">
        <v>0</v>
      </c>
      <c r="I587" s="82">
        <v>826</v>
      </c>
      <c r="J587" s="102">
        <v>600.6</v>
      </c>
      <c r="K587" s="82">
        <v>826</v>
      </c>
    </row>
    <row r="588" spans="1:11" ht="12.75">
      <c r="A588" s="115"/>
      <c r="B588" s="27">
        <v>4210</v>
      </c>
      <c r="C588" s="18" t="s">
        <v>14</v>
      </c>
      <c r="D588" s="93">
        <v>0</v>
      </c>
      <c r="E588" s="102">
        <v>98.2</v>
      </c>
      <c r="F588" s="102">
        <v>0</v>
      </c>
      <c r="G588" s="93">
        <v>0</v>
      </c>
      <c r="H588" s="93">
        <v>0</v>
      </c>
      <c r="I588" s="93">
        <v>417</v>
      </c>
      <c r="J588" s="102">
        <v>416.39</v>
      </c>
      <c r="K588" s="93">
        <v>417</v>
      </c>
    </row>
    <row r="589" spans="1:11" ht="12.75">
      <c r="A589" s="115"/>
      <c r="B589" s="27">
        <v>4300</v>
      </c>
      <c r="C589" s="18" t="s">
        <v>15</v>
      </c>
      <c r="D589" s="82">
        <v>0</v>
      </c>
      <c r="E589" s="102">
        <v>4687.6</v>
      </c>
      <c r="F589" s="102">
        <v>0</v>
      </c>
      <c r="G589" s="82">
        <v>0</v>
      </c>
      <c r="H589" s="82">
        <v>0</v>
      </c>
      <c r="I589" s="82">
        <v>100</v>
      </c>
      <c r="J589" s="102">
        <v>100</v>
      </c>
      <c r="K589" s="82">
        <v>100</v>
      </c>
    </row>
    <row r="590" spans="1:11" ht="12.75" hidden="1">
      <c r="A590" s="115"/>
      <c r="B590" s="27"/>
      <c r="C590" s="18"/>
      <c r="D590" s="93">
        <v>0</v>
      </c>
      <c r="E590" s="102">
        <v>98.2</v>
      </c>
      <c r="F590" s="102">
        <v>0</v>
      </c>
      <c r="G590" s="93">
        <v>0</v>
      </c>
      <c r="H590" s="93">
        <v>0</v>
      </c>
      <c r="I590" s="93">
        <v>0</v>
      </c>
      <c r="J590" s="102">
        <v>0</v>
      </c>
      <c r="K590" s="93">
        <v>0</v>
      </c>
    </row>
    <row r="591" spans="1:11" ht="12.75" hidden="1">
      <c r="A591" s="115"/>
      <c r="B591" s="27"/>
      <c r="C591" s="18"/>
      <c r="D591" s="82">
        <v>0</v>
      </c>
      <c r="E591" s="102">
        <v>4687.6</v>
      </c>
      <c r="F591" s="102">
        <v>0</v>
      </c>
      <c r="G591" s="82">
        <v>0</v>
      </c>
      <c r="H591" s="82">
        <v>0</v>
      </c>
      <c r="I591" s="82">
        <v>0</v>
      </c>
      <c r="J591" s="102">
        <v>0</v>
      </c>
      <c r="K591" s="82">
        <v>0</v>
      </c>
    </row>
    <row r="592" spans="1:11" ht="12.75" hidden="1">
      <c r="A592" s="115"/>
      <c r="B592" s="27"/>
      <c r="C592" s="18"/>
      <c r="D592" s="82">
        <v>0</v>
      </c>
      <c r="E592" s="102">
        <v>991.12</v>
      </c>
      <c r="F592" s="102">
        <v>0</v>
      </c>
      <c r="G592" s="82">
        <v>0</v>
      </c>
      <c r="H592" s="82">
        <v>0</v>
      </c>
      <c r="I592" s="82">
        <v>0</v>
      </c>
      <c r="J592" s="102">
        <v>0</v>
      </c>
      <c r="K592" s="82">
        <v>0</v>
      </c>
    </row>
    <row r="593" spans="1:11" ht="12.75" hidden="1">
      <c r="A593" s="115"/>
      <c r="B593" s="27"/>
      <c r="C593" s="18"/>
      <c r="D593" s="82">
        <v>0</v>
      </c>
      <c r="E593" s="99">
        <v>971.2</v>
      </c>
      <c r="F593" s="99">
        <v>0</v>
      </c>
      <c r="G593" s="82">
        <v>0</v>
      </c>
      <c r="H593" s="82">
        <v>0</v>
      </c>
      <c r="I593" s="82">
        <v>0</v>
      </c>
      <c r="J593" s="99">
        <v>0</v>
      </c>
      <c r="K593" s="82">
        <v>0</v>
      </c>
    </row>
    <row r="594" spans="1:11" ht="12.75" hidden="1">
      <c r="A594" s="115"/>
      <c r="B594" s="27"/>
      <c r="C594" s="18"/>
      <c r="D594" s="82">
        <v>0</v>
      </c>
      <c r="E594" s="99">
        <v>420.17</v>
      </c>
      <c r="F594" s="99">
        <v>0</v>
      </c>
      <c r="G594" s="82">
        <v>0</v>
      </c>
      <c r="H594" s="82">
        <v>0</v>
      </c>
      <c r="I594" s="82">
        <v>0</v>
      </c>
      <c r="J594" s="99">
        <v>0</v>
      </c>
      <c r="K594" s="82">
        <v>0</v>
      </c>
    </row>
    <row r="595" spans="1:11" ht="12.75" hidden="1">
      <c r="A595" s="114">
        <v>75113</v>
      </c>
      <c r="B595" s="26"/>
      <c r="C595" s="19" t="s">
        <v>148</v>
      </c>
      <c r="D595" s="82"/>
      <c r="E595" s="99"/>
      <c r="F595" s="99"/>
      <c r="G595" s="82"/>
      <c r="H595" s="82"/>
      <c r="I595" s="82"/>
      <c r="J595" s="99"/>
      <c r="K595" s="82"/>
    </row>
    <row r="596" spans="1:11" ht="12.75" hidden="1">
      <c r="A596" s="113">
        <v>754</v>
      </c>
      <c r="B596" s="89"/>
      <c r="C596" s="90" t="s">
        <v>57</v>
      </c>
      <c r="D596" s="91">
        <f aca="true" t="shared" si="76" ref="D596:K597">D597</f>
        <v>4880</v>
      </c>
      <c r="E596" s="103">
        <f t="shared" si="76"/>
        <v>0</v>
      </c>
      <c r="F596" s="103">
        <f t="shared" si="76"/>
        <v>4880</v>
      </c>
      <c r="G596" s="91">
        <f t="shared" si="76"/>
        <v>4880</v>
      </c>
      <c r="H596" s="91">
        <f t="shared" si="76"/>
        <v>0</v>
      </c>
      <c r="I596" s="91">
        <f t="shared" si="76"/>
        <v>0</v>
      </c>
      <c r="J596" s="103">
        <f t="shared" si="76"/>
        <v>0</v>
      </c>
      <c r="K596" s="91">
        <f t="shared" si="76"/>
        <v>0</v>
      </c>
    </row>
    <row r="597" spans="1:11" ht="12.75" hidden="1">
      <c r="A597" s="114">
        <v>75478</v>
      </c>
      <c r="B597" s="26"/>
      <c r="C597" s="19" t="s">
        <v>165</v>
      </c>
      <c r="D597" s="123">
        <f t="shared" si="76"/>
        <v>4880</v>
      </c>
      <c r="E597" s="124">
        <f t="shared" si="76"/>
        <v>0</v>
      </c>
      <c r="F597" s="124">
        <f t="shared" si="76"/>
        <v>4880</v>
      </c>
      <c r="G597" s="123">
        <f t="shared" si="76"/>
        <v>4880</v>
      </c>
      <c r="H597" s="123">
        <f t="shared" si="76"/>
        <v>0</v>
      </c>
      <c r="I597" s="123">
        <f t="shared" si="76"/>
        <v>0</v>
      </c>
      <c r="J597" s="124">
        <f t="shared" si="76"/>
        <v>0</v>
      </c>
      <c r="K597" s="123">
        <f t="shared" si="76"/>
        <v>0</v>
      </c>
    </row>
    <row r="598" spans="1:11" ht="12.75" hidden="1">
      <c r="A598" s="115"/>
      <c r="B598" s="27">
        <v>4300</v>
      </c>
      <c r="C598" s="18" t="s">
        <v>15</v>
      </c>
      <c r="D598" s="82">
        <v>4880</v>
      </c>
      <c r="E598" s="99">
        <v>0</v>
      </c>
      <c r="F598" s="99">
        <v>4880</v>
      </c>
      <c r="G598" s="82">
        <v>4880</v>
      </c>
      <c r="H598" s="82">
        <v>0</v>
      </c>
      <c r="I598" s="82">
        <v>0</v>
      </c>
      <c r="J598" s="99">
        <v>0</v>
      </c>
      <c r="K598" s="82">
        <v>0</v>
      </c>
    </row>
    <row r="599" spans="1:11" ht="12.75">
      <c r="A599" s="113">
        <v>852</v>
      </c>
      <c r="B599" s="89"/>
      <c r="C599" s="90" t="s">
        <v>88</v>
      </c>
      <c r="D599" s="91">
        <f>SUM(D600,D616,D622)</f>
        <v>4451698</v>
      </c>
      <c r="E599" s="103">
        <f>SUM(E600,E616,E622)</f>
        <v>3490619.0700000008</v>
      </c>
      <c r="F599" s="103">
        <f>SUM(F600,F616,F622)</f>
        <v>3432170.15</v>
      </c>
      <c r="G599" s="91">
        <f>SUM(G600,G616,G622)</f>
        <v>4451698</v>
      </c>
      <c r="H599" s="91">
        <f>SUM(H600,H616,H618,H620,H622)</f>
        <v>3722309</v>
      </c>
      <c r="I599" s="91">
        <f>SUM(I600,I616,I618,I620,I622)</f>
        <v>3761917</v>
      </c>
      <c r="J599" s="103">
        <f>SUM(J600,J616,J618,J620,J622)</f>
        <v>3068273.99</v>
      </c>
      <c r="K599" s="91">
        <f>SUM(K600,K616,K618,K620,K622)</f>
        <v>4217146</v>
      </c>
    </row>
    <row r="600" spans="1:11" ht="25.5">
      <c r="A600" s="114">
        <v>85212</v>
      </c>
      <c r="B600" s="26"/>
      <c r="C600" s="19" t="s">
        <v>116</v>
      </c>
      <c r="D600" s="123">
        <f aca="true" t="shared" si="77" ref="D600:J600">SUM(D601:D615)</f>
        <v>3775600</v>
      </c>
      <c r="E600" s="124">
        <f t="shared" si="77"/>
        <v>3470455.5300000007</v>
      </c>
      <c r="F600" s="124">
        <f t="shared" si="77"/>
        <v>2854734.92</v>
      </c>
      <c r="G600" s="123">
        <f t="shared" si="77"/>
        <v>3775600</v>
      </c>
      <c r="H600" s="123">
        <f t="shared" si="77"/>
        <v>3700211</v>
      </c>
      <c r="I600" s="123">
        <f t="shared" si="77"/>
        <v>3700211</v>
      </c>
      <c r="J600" s="124">
        <f t="shared" si="77"/>
        <v>3023170.2800000003</v>
      </c>
      <c r="K600" s="123">
        <f>SUM(K601:K615)</f>
        <v>4136000</v>
      </c>
    </row>
    <row r="601" spans="1:11" ht="12.75">
      <c r="A601" s="114"/>
      <c r="B601" s="27">
        <v>3020</v>
      </c>
      <c r="C601" s="18" t="s">
        <v>73</v>
      </c>
      <c r="D601" s="97">
        <v>1000</v>
      </c>
      <c r="E601" s="98">
        <v>0</v>
      </c>
      <c r="F601" s="98">
        <v>339.98</v>
      </c>
      <c r="G601" s="97">
        <v>1000</v>
      </c>
      <c r="H601" s="97">
        <v>980</v>
      </c>
      <c r="I601" s="97">
        <v>980</v>
      </c>
      <c r="J601" s="98">
        <v>504.39</v>
      </c>
      <c r="K601" s="97">
        <v>980</v>
      </c>
    </row>
    <row r="602" spans="1:11" ht="12.75">
      <c r="A602" s="115"/>
      <c r="B602" s="27">
        <v>3110</v>
      </c>
      <c r="C602" s="18" t="s">
        <v>91</v>
      </c>
      <c r="D602" s="82">
        <v>3631356</v>
      </c>
      <c r="E602" s="99">
        <v>3343646.23</v>
      </c>
      <c r="F602" s="99">
        <v>2757000.22</v>
      </c>
      <c r="G602" s="82">
        <v>3631356</v>
      </c>
      <c r="H602" s="82">
        <v>3558729</v>
      </c>
      <c r="I602" s="82">
        <v>3538729</v>
      </c>
      <c r="J602" s="99">
        <v>2889790.73</v>
      </c>
      <c r="K602" s="82">
        <v>3941518</v>
      </c>
    </row>
    <row r="603" spans="1:11" ht="12.75">
      <c r="A603" s="115"/>
      <c r="B603" s="27">
        <v>4010</v>
      </c>
      <c r="C603" s="18" t="s">
        <v>37</v>
      </c>
      <c r="D603" s="82">
        <v>55599</v>
      </c>
      <c r="E603" s="99">
        <v>67081.99</v>
      </c>
      <c r="F603" s="99">
        <v>37692.82</v>
      </c>
      <c r="G603" s="82">
        <v>55599</v>
      </c>
      <c r="H603" s="82">
        <v>54487</v>
      </c>
      <c r="I603" s="82">
        <v>54487</v>
      </c>
      <c r="J603" s="99">
        <v>54619.02</v>
      </c>
      <c r="K603" s="82">
        <v>72816</v>
      </c>
    </row>
    <row r="604" spans="1:11" ht="12.75">
      <c r="A604" s="115"/>
      <c r="B604" s="27">
        <v>4040</v>
      </c>
      <c r="C604" s="18" t="s">
        <v>38</v>
      </c>
      <c r="D604" s="82">
        <v>6805</v>
      </c>
      <c r="E604" s="99">
        <v>4986.43</v>
      </c>
      <c r="F604" s="99">
        <v>6804.71</v>
      </c>
      <c r="G604" s="82">
        <v>6805</v>
      </c>
      <c r="H604" s="82">
        <v>6669</v>
      </c>
      <c r="I604" s="82">
        <v>6469</v>
      </c>
      <c r="J604" s="99">
        <v>5815.95</v>
      </c>
      <c r="K604" s="82">
        <v>5816</v>
      </c>
    </row>
    <row r="605" spans="1:11" ht="12.75">
      <c r="A605" s="115"/>
      <c r="B605" s="27">
        <v>4110</v>
      </c>
      <c r="C605" s="18" t="s">
        <v>39</v>
      </c>
      <c r="D605" s="82">
        <v>61600</v>
      </c>
      <c r="E605" s="99">
        <v>39455.39</v>
      </c>
      <c r="F605" s="99">
        <v>43129.93</v>
      </c>
      <c r="G605" s="82">
        <v>61600</v>
      </c>
      <c r="H605" s="82">
        <v>60368</v>
      </c>
      <c r="I605" s="82">
        <v>80368</v>
      </c>
      <c r="J605" s="99">
        <v>62585.38</v>
      </c>
      <c r="K605" s="82">
        <v>100368</v>
      </c>
    </row>
    <row r="606" spans="1:11" ht="12.75">
      <c r="A606" s="115"/>
      <c r="B606" s="27">
        <v>4120</v>
      </c>
      <c r="C606" s="18" t="s">
        <v>40</v>
      </c>
      <c r="D606" s="82">
        <v>1300</v>
      </c>
      <c r="E606" s="99">
        <v>1183.54</v>
      </c>
      <c r="F606" s="99">
        <v>641.82</v>
      </c>
      <c r="G606" s="82">
        <v>1300</v>
      </c>
      <c r="H606" s="82">
        <v>1274</v>
      </c>
      <c r="I606" s="82">
        <v>1274</v>
      </c>
      <c r="J606" s="99">
        <v>297.77</v>
      </c>
      <c r="K606" s="82">
        <v>298</v>
      </c>
    </row>
    <row r="607" spans="1:11" ht="12.75">
      <c r="A607" s="115"/>
      <c r="B607" s="27">
        <v>4210</v>
      </c>
      <c r="C607" s="18" t="s">
        <v>14</v>
      </c>
      <c r="D607" s="82">
        <v>2000</v>
      </c>
      <c r="E607" s="99">
        <v>900</v>
      </c>
      <c r="F607" s="99">
        <v>862.69</v>
      </c>
      <c r="G607" s="82">
        <v>2000</v>
      </c>
      <c r="H607" s="82">
        <f>1960+98+686</f>
        <v>2744</v>
      </c>
      <c r="I607" s="82">
        <v>2744</v>
      </c>
      <c r="J607" s="99">
        <v>1559.55</v>
      </c>
      <c r="K607" s="82">
        <v>2244</v>
      </c>
    </row>
    <row r="608" spans="1:11" ht="12.75">
      <c r="A608" s="115"/>
      <c r="B608" s="27">
        <v>4280</v>
      </c>
      <c r="C608" s="18" t="s">
        <v>44</v>
      </c>
      <c r="D608" s="82"/>
      <c r="E608" s="99"/>
      <c r="F608" s="99"/>
      <c r="G608" s="82"/>
      <c r="H608" s="82"/>
      <c r="I608" s="82">
        <v>200</v>
      </c>
      <c r="J608" s="99">
        <v>186</v>
      </c>
      <c r="K608" s="82">
        <v>200</v>
      </c>
    </row>
    <row r="609" spans="1:11" ht="12.75">
      <c r="A609" s="115"/>
      <c r="B609" s="27">
        <v>4300</v>
      </c>
      <c r="C609" s="18" t="s">
        <v>15</v>
      </c>
      <c r="D609" s="82">
        <v>9764</v>
      </c>
      <c r="E609" s="99">
        <v>8464.58</v>
      </c>
      <c r="F609" s="99">
        <v>4125.38</v>
      </c>
      <c r="G609" s="82">
        <v>9764</v>
      </c>
      <c r="H609" s="82">
        <v>9569</v>
      </c>
      <c r="I609" s="82">
        <v>9569</v>
      </c>
      <c r="J609" s="99">
        <v>3658.42</v>
      </c>
      <c r="K609" s="82">
        <v>6569</v>
      </c>
    </row>
    <row r="610" spans="1:11" ht="12.75">
      <c r="A610" s="115"/>
      <c r="B610" s="27">
        <v>4410</v>
      </c>
      <c r="C610" s="18" t="s">
        <v>48</v>
      </c>
      <c r="D610" s="82">
        <v>400</v>
      </c>
      <c r="E610" s="99">
        <v>128.3</v>
      </c>
      <c r="F610" s="99">
        <v>66</v>
      </c>
      <c r="G610" s="82">
        <v>400</v>
      </c>
      <c r="H610" s="82">
        <v>392</v>
      </c>
      <c r="I610" s="82">
        <v>392</v>
      </c>
      <c r="J610" s="99">
        <v>79.16</v>
      </c>
      <c r="K610" s="82">
        <v>192</v>
      </c>
    </row>
    <row r="611" spans="1:11" ht="12.75">
      <c r="A611" s="115"/>
      <c r="B611" s="27">
        <v>4440</v>
      </c>
      <c r="C611" s="18" t="s">
        <v>50</v>
      </c>
      <c r="D611" s="82">
        <v>3144</v>
      </c>
      <c r="E611" s="99">
        <v>3000.12</v>
      </c>
      <c r="F611" s="99">
        <v>3143.52</v>
      </c>
      <c r="G611" s="82">
        <v>3144</v>
      </c>
      <c r="H611" s="82">
        <v>3081</v>
      </c>
      <c r="I611" s="82">
        <v>3282</v>
      </c>
      <c r="J611" s="99">
        <v>3281.79</v>
      </c>
      <c r="K611" s="82">
        <v>3282</v>
      </c>
    </row>
    <row r="612" spans="1:11" ht="12.75">
      <c r="A612" s="115"/>
      <c r="B612" s="27">
        <v>4610</v>
      </c>
      <c r="C612" s="18" t="s">
        <v>139</v>
      </c>
      <c r="D612" s="82">
        <v>832</v>
      </c>
      <c r="E612" s="99">
        <v>0</v>
      </c>
      <c r="F612" s="99">
        <v>327.85</v>
      </c>
      <c r="G612" s="82">
        <v>832</v>
      </c>
      <c r="H612" s="82">
        <f>815+123</f>
        <v>938</v>
      </c>
      <c r="I612" s="82">
        <v>737</v>
      </c>
      <c r="J612" s="99">
        <v>152.12</v>
      </c>
      <c r="K612" s="82">
        <v>737</v>
      </c>
    </row>
    <row r="613" spans="1:11" ht="25.5">
      <c r="A613" s="115"/>
      <c r="B613" s="27">
        <v>4700</v>
      </c>
      <c r="C613" s="18" t="s">
        <v>51</v>
      </c>
      <c r="D613" s="82">
        <v>1000</v>
      </c>
      <c r="E613" s="99">
        <v>927</v>
      </c>
      <c r="F613" s="99">
        <v>600</v>
      </c>
      <c r="G613" s="82">
        <v>1000</v>
      </c>
      <c r="H613" s="82">
        <v>980</v>
      </c>
      <c r="I613" s="82">
        <v>980</v>
      </c>
      <c r="J613" s="99">
        <v>640</v>
      </c>
      <c r="K613" s="82">
        <v>980</v>
      </c>
    </row>
    <row r="614" spans="1:11" ht="12.75" hidden="1">
      <c r="A614" s="115"/>
      <c r="B614" s="27"/>
      <c r="C614" s="18"/>
      <c r="D614" s="82">
        <v>100</v>
      </c>
      <c r="E614" s="99">
        <v>0</v>
      </c>
      <c r="F614" s="99">
        <v>0</v>
      </c>
      <c r="G614" s="82">
        <v>100</v>
      </c>
      <c r="H614" s="82"/>
      <c r="I614" s="82"/>
      <c r="J614" s="99"/>
      <c r="K614" s="82"/>
    </row>
    <row r="615" spans="1:11" ht="12.75" hidden="1">
      <c r="A615" s="115"/>
      <c r="B615" s="27"/>
      <c r="C615" s="18"/>
      <c r="D615" s="82">
        <v>700</v>
      </c>
      <c r="E615" s="99">
        <v>681.95</v>
      </c>
      <c r="F615" s="99">
        <v>0</v>
      </c>
      <c r="G615" s="82">
        <v>700</v>
      </c>
      <c r="H615" s="82"/>
      <c r="I615" s="82"/>
      <c r="J615" s="99"/>
      <c r="K615" s="82"/>
    </row>
    <row r="616" spans="1:11" ht="38.25">
      <c r="A616" s="114">
        <v>85213</v>
      </c>
      <c r="B616" s="26"/>
      <c r="C616" s="19" t="s">
        <v>117</v>
      </c>
      <c r="D616" s="92">
        <f aca="true" t="shared" si="78" ref="D616:K616">SUM(D617)</f>
        <v>23380</v>
      </c>
      <c r="E616" s="100">
        <f t="shared" si="78"/>
        <v>20163.54</v>
      </c>
      <c r="F616" s="100">
        <f t="shared" si="78"/>
        <v>15174.17</v>
      </c>
      <c r="G616" s="92">
        <f t="shared" si="78"/>
        <v>23380</v>
      </c>
      <c r="H616" s="92">
        <f t="shared" si="78"/>
        <v>22098</v>
      </c>
      <c r="I616" s="92">
        <f t="shared" si="78"/>
        <v>37506</v>
      </c>
      <c r="J616" s="100">
        <f t="shared" si="78"/>
        <v>23903.71</v>
      </c>
      <c r="K616" s="92">
        <f t="shared" si="78"/>
        <v>37506</v>
      </c>
    </row>
    <row r="617" spans="1:11" ht="12.75">
      <c r="A617" s="115"/>
      <c r="B617" s="27">
        <v>4130</v>
      </c>
      <c r="C617" s="18" t="s">
        <v>118</v>
      </c>
      <c r="D617" s="82">
        <v>23380</v>
      </c>
      <c r="E617" s="99">
        <v>20163.54</v>
      </c>
      <c r="F617" s="99">
        <v>15174.17</v>
      </c>
      <c r="G617" s="82">
        <v>23380</v>
      </c>
      <c r="H617" s="82">
        <v>22098</v>
      </c>
      <c r="I617" s="82">
        <v>37506</v>
      </c>
      <c r="J617" s="99">
        <v>23903.71</v>
      </c>
      <c r="K617" s="82">
        <v>37506</v>
      </c>
    </row>
    <row r="618" spans="1:11" ht="12.75">
      <c r="A618" s="114">
        <v>85219</v>
      </c>
      <c r="B618" s="26"/>
      <c r="C618" s="19" t="s">
        <v>93</v>
      </c>
      <c r="D618" s="82"/>
      <c r="E618" s="99"/>
      <c r="F618" s="99"/>
      <c r="G618" s="82"/>
      <c r="H618" s="92">
        <f>SUM(H619)</f>
        <v>0</v>
      </c>
      <c r="I618" s="92">
        <f>SUM(I619)</f>
        <v>900</v>
      </c>
      <c r="J618" s="100">
        <f>SUM(J619)</f>
        <v>750</v>
      </c>
      <c r="K618" s="92">
        <f>SUM(K619)</f>
        <v>1350</v>
      </c>
    </row>
    <row r="619" spans="1:11" ht="12.75">
      <c r="A619" s="115"/>
      <c r="B619" s="27">
        <v>3110</v>
      </c>
      <c r="C619" s="134" t="s">
        <v>91</v>
      </c>
      <c r="D619" s="82"/>
      <c r="E619" s="99"/>
      <c r="F619" s="99"/>
      <c r="G619" s="82"/>
      <c r="H619" s="82">
        <v>0</v>
      </c>
      <c r="I619" s="82">
        <v>900</v>
      </c>
      <c r="J619" s="99">
        <v>750</v>
      </c>
      <c r="K619" s="82">
        <v>1350</v>
      </c>
    </row>
    <row r="620" spans="1:11" ht="12.75">
      <c r="A620" s="114">
        <v>85228</v>
      </c>
      <c r="B620" s="26"/>
      <c r="C620" s="19" t="s">
        <v>185</v>
      </c>
      <c r="D620" s="82"/>
      <c r="E620" s="99"/>
      <c r="F620" s="99"/>
      <c r="G620" s="82"/>
      <c r="H620" s="92">
        <f>SUM(H621)</f>
        <v>0</v>
      </c>
      <c r="I620" s="92">
        <f>SUM(I621)</f>
        <v>6300</v>
      </c>
      <c r="J620" s="100">
        <f>SUM(J621)</f>
        <v>3450</v>
      </c>
      <c r="K620" s="92">
        <f>SUM(K621)</f>
        <v>7790</v>
      </c>
    </row>
    <row r="621" spans="1:11" ht="12.75">
      <c r="A621" s="115"/>
      <c r="B621" s="27">
        <v>4170</v>
      </c>
      <c r="C621" s="18" t="s">
        <v>42</v>
      </c>
      <c r="D621" s="82"/>
      <c r="E621" s="99"/>
      <c r="F621" s="99"/>
      <c r="G621" s="82"/>
      <c r="H621" s="82">
        <v>0</v>
      </c>
      <c r="I621" s="82">
        <v>6300</v>
      </c>
      <c r="J621" s="99">
        <v>3450</v>
      </c>
      <c r="K621" s="82">
        <v>7790</v>
      </c>
    </row>
    <row r="622" spans="1:11" ht="12.75">
      <c r="A622" s="114">
        <v>85278</v>
      </c>
      <c r="B622" s="26"/>
      <c r="C622" s="137" t="s">
        <v>165</v>
      </c>
      <c r="D622" s="138">
        <f aca="true" t="shared" si="79" ref="D622:K622">SUM(D623:D623)</f>
        <v>652718</v>
      </c>
      <c r="E622" s="139">
        <f t="shared" si="79"/>
        <v>0</v>
      </c>
      <c r="F622" s="139">
        <f t="shared" si="79"/>
        <v>562261.06</v>
      </c>
      <c r="G622" s="138">
        <f t="shared" si="79"/>
        <v>652718</v>
      </c>
      <c r="H622" s="138">
        <f t="shared" si="79"/>
        <v>0</v>
      </c>
      <c r="I622" s="138">
        <f t="shared" si="79"/>
        <v>17000</v>
      </c>
      <c r="J622" s="139">
        <f t="shared" si="79"/>
        <v>17000</v>
      </c>
      <c r="K622" s="138">
        <f t="shared" si="79"/>
        <v>34500</v>
      </c>
    </row>
    <row r="623" spans="1:11" ht="12.75">
      <c r="A623" s="115"/>
      <c r="B623" s="27">
        <v>3110</v>
      </c>
      <c r="C623" s="134" t="s">
        <v>91</v>
      </c>
      <c r="D623" s="93">
        <v>652718</v>
      </c>
      <c r="E623" s="102">
        <v>0</v>
      </c>
      <c r="F623" s="102">
        <v>562261.06</v>
      </c>
      <c r="G623" s="93">
        <v>652718</v>
      </c>
      <c r="H623" s="93">
        <v>0</v>
      </c>
      <c r="I623" s="93">
        <v>17000</v>
      </c>
      <c r="J623" s="102">
        <v>17000</v>
      </c>
      <c r="K623" s="93">
        <v>34500</v>
      </c>
    </row>
    <row r="624" spans="1:11" ht="12.75">
      <c r="A624" s="175" t="s">
        <v>120</v>
      </c>
      <c r="B624" s="175"/>
      <c r="C624" s="175"/>
      <c r="D624" s="125" t="e">
        <f aca="true" t="shared" si="80" ref="D624:K624">SUM(D543,D8)</f>
        <v>#REF!</v>
      </c>
      <c r="E624" s="126" t="e">
        <f t="shared" si="80"/>
        <v>#REF!</v>
      </c>
      <c r="F624" s="126" t="e">
        <f t="shared" si="80"/>
        <v>#REF!</v>
      </c>
      <c r="G624" s="125" t="e">
        <f t="shared" si="80"/>
        <v>#REF!</v>
      </c>
      <c r="H624" s="125">
        <f t="shared" si="80"/>
        <v>24825127</v>
      </c>
      <c r="I624" s="125">
        <f t="shared" si="80"/>
        <v>28840494</v>
      </c>
      <c r="J624" s="126">
        <f t="shared" si="80"/>
        <v>20193136.04</v>
      </c>
      <c r="K624" s="125">
        <f t="shared" si="80"/>
        <v>29487085.650000002</v>
      </c>
    </row>
    <row r="625" spans="3:11" ht="12.75">
      <c r="C625" s="3"/>
      <c r="D625" s="15">
        <v>40591237</v>
      </c>
      <c r="E625" s="84">
        <v>30568621.91</v>
      </c>
      <c r="F625" s="84">
        <v>22365295.92</v>
      </c>
      <c r="G625" s="15"/>
      <c r="H625" s="15"/>
      <c r="I625" s="15">
        <v>28840494</v>
      </c>
      <c r="J625" s="84">
        <v>20193136.04</v>
      </c>
      <c r="K625" s="15">
        <f>29481430+5656</f>
        <v>29487086</v>
      </c>
    </row>
    <row r="626" spans="3:11" ht="12.75">
      <c r="C626" s="3"/>
      <c r="D626" s="15" t="e">
        <f>D625-D624</f>
        <v>#REF!</v>
      </c>
      <c r="E626" s="84" t="e">
        <f>E625-E624</f>
        <v>#REF!</v>
      </c>
      <c r="F626" s="84" t="e">
        <f>F625-F624</f>
        <v>#REF!</v>
      </c>
      <c r="G626" s="15"/>
      <c r="H626" s="15">
        <v>25205230</v>
      </c>
      <c r="I626" s="15">
        <f>I625-I624</f>
        <v>0</v>
      </c>
      <c r="J626" s="84">
        <f>J625-J624</f>
        <v>0</v>
      </c>
      <c r="K626" s="15">
        <f>K625-K624</f>
        <v>0.3499999977648258</v>
      </c>
    </row>
    <row r="627" spans="1:8" ht="12.75">
      <c r="A627" s="74"/>
      <c r="B627" s="83"/>
      <c r="C627" s="85"/>
      <c r="H627" s="15">
        <f>H626-H624</f>
        <v>380103</v>
      </c>
    </row>
    <row r="628" spans="1:3" ht="12.75">
      <c r="A628" s="83"/>
      <c r="B628" s="83"/>
      <c r="C628" s="85"/>
    </row>
    <row r="629" spans="1:8" ht="12.75">
      <c r="A629" s="83"/>
      <c r="B629" s="83"/>
      <c r="C629" s="85"/>
      <c r="H629" s="15"/>
    </row>
    <row r="630" ht="12.75">
      <c r="C630" s="83"/>
    </row>
    <row r="631" ht="12.75">
      <c r="C631" s="168"/>
    </row>
    <row r="632" spans="2:11" ht="12.75">
      <c r="B632" s="154"/>
      <c r="C632" s="142"/>
      <c r="D632" s="142"/>
      <c r="E632" s="155"/>
      <c r="F632" s="155"/>
      <c r="G632" s="156"/>
      <c r="H632" s="142"/>
      <c r="I632" s="143"/>
      <c r="J632" s="155"/>
      <c r="K632" s="143"/>
    </row>
    <row r="633" spans="2:11" ht="12.75">
      <c r="B633" s="154"/>
      <c r="C633" s="155"/>
      <c r="D633" s="157"/>
      <c r="E633" s="143"/>
      <c r="F633" s="143"/>
      <c r="G633" s="158"/>
      <c r="H633" s="143"/>
      <c r="I633" s="143"/>
      <c r="J633" s="155"/>
      <c r="K633" s="143"/>
    </row>
    <row r="634" spans="2:11" ht="12.75">
      <c r="B634" s="154"/>
      <c r="C634" s="155"/>
      <c r="D634" s="143"/>
      <c r="E634" s="143"/>
      <c r="F634" s="143"/>
      <c r="G634" s="158"/>
      <c r="H634" s="143"/>
      <c r="I634" s="143"/>
      <c r="J634" s="155"/>
      <c r="K634" s="143"/>
    </row>
    <row r="635" spans="2:11" ht="12.75">
      <c r="B635" s="154"/>
      <c r="C635" s="159"/>
      <c r="D635" s="144"/>
      <c r="E635" s="144"/>
      <c r="F635" s="144"/>
      <c r="G635" s="160"/>
      <c r="H635" s="143"/>
      <c r="I635" s="143"/>
      <c r="J635" s="155"/>
      <c r="K635" s="143"/>
    </row>
    <row r="636" spans="2:11" ht="12.75">
      <c r="B636" s="154"/>
      <c r="C636" s="142"/>
      <c r="D636" s="143"/>
      <c r="E636" s="143"/>
      <c r="F636" s="143"/>
      <c r="G636" s="158"/>
      <c r="H636" s="143"/>
      <c r="I636" s="143"/>
      <c r="J636" s="155"/>
      <c r="K636" s="143"/>
    </row>
    <row r="637" spans="2:13" ht="12.75">
      <c r="B637" s="154"/>
      <c r="C637" s="142"/>
      <c r="D637" s="161"/>
      <c r="E637" s="143"/>
      <c r="F637" s="143"/>
      <c r="G637" s="158"/>
      <c r="H637" s="143"/>
      <c r="I637" s="143"/>
      <c r="J637" s="155"/>
      <c r="K637" s="143" t="s">
        <v>197</v>
      </c>
      <c r="L637" t="s">
        <v>195</v>
      </c>
      <c r="M637" t="s">
        <v>196</v>
      </c>
    </row>
    <row r="638" spans="2:14" ht="12.75">
      <c r="B638" s="154"/>
      <c r="C638" s="156" t="s">
        <v>177</v>
      </c>
      <c r="D638" s="158"/>
      <c r="E638" s="158"/>
      <c r="F638" s="158"/>
      <c r="G638" s="158"/>
      <c r="H638" s="158">
        <v>24573322</v>
      </c>
      <c r="I638" s="158"/>
      <c r="J638" s="165"/>
      <c r="K638" s="158">
        <v>26188449</v>
      </c>
      <c r="L638">
        <f>L640-L639</f>
        <v>26022318</v>
      </c>
      <c r="M638">
        <f>M640-M639</f>
        <v>25845915</v>
      </c>
      <c r="N638">
        <f>M638/L638</f>
        <v>0.9932210881444151</v>
      </c>
    </row>
    <row r="639" spans="2:13" ht="12.75">
      <c r="B639" s="154"/>
      <c r="C639" s="142" t="s">
        <v>194</v>
      </c>
      <c r="D639" s="143"/>
      <c r="E639" s="143"/>
      <c r="F639" s="143"/>
      <c r="G639" s="158"/>
      <c r="H639" s="143">
        <v>2847408</v>
      </c>
      <c r="I639" s="143"/>
      <c r="J639" s="155"/>
      <c r="K639" s="143">
        <v>4370293</v>
      </c>
      <c r="L639">
        <v>3464768</v>
      </c>
      <c r="M639" s="161">
        <v>414685</v>
      </c>
    </row>
    <row r="640" spans="2:13" ht="12.75">
      <c r="B640" s="154"/>
      <c r="C640" s="142" t="s">
        <v>149</v>
      </c>
      <c r="D640" s="143"/>
      <c r="E640" s="143"/>
      <c r="F640" s="143"/>
      <c r="G640" s="158"/>
      <c r="H640" s="143">
        <f>SUM(H638:H639)</f>
        <v>27420730</v>
      </c>
      <c r="I640" s="143"/>
      <c r="J640" s="155"/>
      <c r="K640" s="143">
        <v>30558742</v>
      </c>
      <c r="L640">
        <v>29487086</v>
      </c>
      <c r="M640">
        <v>26260600</v>
      </c>
    </row>
    <row r="641" spans="2:11" ht="12.75">
      <c r="B641" s="154"/>
      <c r="C641" s="142"/>
      <c r="D641" s="143"/>
      <c r="E641" s="143"/>
      <c r="F641" s="143"/>
      <c r="G641" s="143"/>
      <c r="H641" s="143"/>
      <c r="I641" s="143"/>
      <c r="J641" s="155"/>
      <c r="K641" s="143">
        <f>K638+K639-K640</f>
        <v>0</v>
      </c>
    </row>
    <row r="642" spans="2:11" ht="12.75">
      <c r="B642" s="154"/>
      <c r="C642" s="142"/>
      <c r="D642" s="143"/>
      <c r="E642" s="143"/>
      <c r="F642" s="143"/>
      <c r="G642" s="143"/>
      <c r="H642" s="143"/>
      <c r="I642" s="143"/>
      <c r="J642" s="155"/>
      <c r="K642" s="143"/>
    </row>
    <row r="643" spans="2:11" ht="12.75">
      <c r="B643" s="162"/>
      <c r="C643" s="162"/>
      <c r="D643" s="142"/>
      <c r="E643" s="155"/>
      <c r="F643" s="155"/>
      <c r="G643" s="142"/>
      <c r="H643" s="142"/>
      <c r="I643" s="143"/>
      <c r="J643" s="155"/>
      <c r="K643" s="143"/>
    </row>
    <row r="644" spans="2:11" ht="12.75">
      <c r="B644" s="162"/>
      <c r="C644" s="162"/>
      <c r="D644" s="142"/>
      <c r="E644" s="155"/>
      <c r="F644" s="155"/>
      <c r="G644" s="142"/>
      <c r="H644" s="142"/>
      <c r="I644" s="143"/>
      <c r="J644" s="155"/>
      <c r="K644" s="143"/>
    </row>
    <row r="645" ht="12.75"/>
    <row r="646" ht="12.75"/>
    <row r="647" ht="12.75"/>
    <row r="648" spans="4:6" ht="12.75">
      <c r="D648" t="s">
        <v>174</v>
      </c>
      <c r="E648" s="84" t="s">
        <v>175</v>
      </c>
      <c r="F648" s="84" t="s">
        <v>176</v>
      </c>
    </row>
    <row r="649" spans="4:6" ht="12.75">
      <c r="D649" s="15">
        <v>24570322</v>
      </c>
      <c r="E649" s="15">
        <f>E651-E650</f>
        <v>24820003</v>
      </c>
      <c r="F649" s="147">
        <f>D649-E649</f>
        <v>-249681</v>
      </c>
    </row>
    <row r="650" spans="4:6" ht="12.75">
      <c r="D650" s="15">
        <v>2320408</v>
      </c>
      <c r="E650" s="15">
        <v>5124</v>
      </c>
      <c r="F650" s="15">
        <f>D650-E650</f>
        <v>2315284</v>
      </c>
    </row>
    <row r="651" spans="4:6" ht="12.75">
      <c r="D651" s="15">
        <f>SUM(D649:D650)</f>
        <v>26890730</v>
      </c>
      <c r="E651" s="15">
        <f>H624</f>
        <v>24825127</v>
      </c>
      <c r="F651" s="15">
        <f>D651-E651</f>
        <v>2065603</v>
      </c>
    </row>
    <row r="652" ht="12.75"/>
    <row r="653" ht="12.75">
      <c r="D653" s="15"/>
    </row>
    <row r="654" ht="12.75">
      <c r="D654" s="15"/>
    </row>
    <row r="655" ht="12.75">
      <c r="D655" s="15"/>
    </row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</sheetData>
  <sheetProtection/>
  <mergeCells count="4">
    <mergeCell ref="A624:C624"/>
    <mergeCell ref="A1:I1"/>
    <mergeCell ref="A2:I2"/>
    <mergeCell ref="A3:K3"/>
  </mergeCells>
  <printOptions/>
  <pageMargins left="0.1968503937007874" right="0.15748031496062992" top="0.2755905511811024" bottom="0.2755905511811024" header="0.5118110236220472" footer="0.07874015748031496"/>
  <pageSetup firstPageNumber="8" useFirstPageNumber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3"/>
  <sheetViews>
    <sheetView zoomScalePageLayoutView="0" workbookViewId="0" topLeftCell="A468">
      <selection activeCell="C505" sqref="C505"/>
    </sheetView>
  </sheetViews>
  <sheetFormatPr defaultColWidth="9.00390625" defaultRowHeight="12.75"/>
  <cols>
    <col min="1" max="1" width="7.25390625" style="0" customWidth="1"/>
    <col min="2" max="2" width="6.375" style="0" customWidth="1"/>
    <col min="3" max="3" width="41.875" style="0" customWidth="1"/>
    <col min="4" max="4" width="14.75390625" style="0" customWidth="1"/>
  </cols>
  <sheetData>
    <row r="1" spans="1:4" ht="12.75">
      <c r="A1" s="4"/>
      <c r="B1" s="4"/>
      <c r="C1" s="180" t="s">
        <v>124</v>
      </c>
      <c r="D1" s="180"/>
    </row>
    <row r="2" spans="1:4" ht="12.75">
      <c r="A2" s="4"/>
      <c r="B2" s="4"/>
      <c r="C2" s="30"/>
      <c r="D2" s="30"/>
    </row>
    <row r="3" spans="1:4" ht="12.75">
      <c r="A3" s="4"/>
      <c r="B3" s="4"/>
      <c r="C3" s="25"/>
      <c r="D3" s="5"/>
    </row>
    <row r="4" spans="1:4" ht="12.75">
      <c r="A4" s="6" t="s">
        <v>123</v>
      </c>
      <c r="B4" s="7"/>
      <c r="C4" s="8"/>
      <c r="D4" s="8"/>
    </row>
    <row r="5" spans="1:4" ht="13.5" thickBot="1">
      <c r="A5" s="6"/>
      <c r="B5" s="7"/>
      <c r="C5" s="8"/>
      <c r="D5" s="8"/>
    </row>
    <row r="6" spans="1:5" ht="26.25" thickBot="1">
      <c r="A6" s="32" t="s">
        <v>0</v>
      </c>
      <c r="B6" s="33" t="s">
        <v>1</v>
      </c>
      <c r="C6" s="34" t="s">
        <v>2</v>
      </c>
      <c r="D6" s="37" t="s">
        <v>121</v>
      </c>
      <c r="E6" s="15" t="s">
        <v>141</v>
      </c>
    </row>
    <row r="7" spans="1:7" ht="13.5" thickBot="1">
      <c r="A7" s="35">
        <v>1</v>
      </c>
      <c r="B7" s="9">
        <v>2</v>
      </c>
      <c r="C7" s="9">
        <v>3</v>
      </c>
      <c r="D7" s="38">
        <v>4</v>
      </c>
      <c r="E7" s="75"/>
      <c r="F7" s="10"/>
      <c r="G7" s="10"/>
    </row>
    <row r="8" spans="1:5" ht="13.5" thickBot="1">
      <c r="A8" s="36"/>
      <c r="B8" s="11"/>
      <c r="C8" s="12" t="s">
        <v>3</v>
      </c>
      <c r="D8" s="39">
        <f>SUM(D9,D21,D24,D39,D46,D53,D99,D119,D126,D131,D134,D275,D291,D320,D337,D360,D377)</f>
        <v>11068000</v>
      </c>
      <c r="E8" s="15"/>
    </row>
    <row r="9" spans="1:5" ht="13.5" thickBot="1">
      <c r="A9" s="40" t="s">
        <v>4</v>
      </c>
      <c r="B9" s="41"/>
      <c r="C9" s="42" t="s">
        <v>5</v>
      </c>
      <c r="D9" s="43">
        <f>SUM(D10,D15,D17)</f>
        <v>3000000</v>
      </c>
      <c r="E9" s="15"/>
    </row>
    <row r="10" spans="1:5" ht="12.75">
      <c r="A10" s="45" t="s">
        <v>6</v>
      </c>
      <c r="B10" s="46"/>
      <c r="C10" s="47" t="s">
        <v>7</v>
      </c>
      <c r="D10" s="48">
        <f>SUM(D11:D14)</f>
        <v>3000000</v>
      </c>
      <c r="E10" s="15"/>
    </row>
    <row r="11" spans="1:5" ht="12.75">
      <c r="A11" s="49"/>
      <c r="B11" s="27">
        <v>4300</v>
      </c>
      <c r="C11" s="18" t="s">
        <v>15</v>
      </c>
      <c r="D11" s="22"/>
      <c r="E11" s="15"/>
    </row>
    <row r="12" spans="1:5" ht="12.75">
      <c r="A12" s="49"/>
      <c r="B12" s="27">
        <v>6058</v>
      </c>
      <c r="C12" s="18" t="s">
        <v>26</v>
      </c>
      <c r="D12" s="22">
        <v>2000000</v>
      </c>
      <c r="E12" s="15"/>
    </row>
    <row r="13" spans="1:5" ht="12.75">
      <c r="A13" s="49"/>
      <c r="B13" s="27">
        <v>6059</v>
      </c>
      <c r="C13" s="18" t="s">
        <v>26</v>
      </c>
      <c r="D13" s="22">
        <v>500000</v>
      </c>
      <c r="E13" s="15"/>
    </row>
    <row r="14" spans="1:5" ht="45">
      <c r="A14" s="50"/>
      <c r="B14" s="27">
        <v>6659</v>
      </c>
      <c r="C14" s="44" t="s">
        <v>8</v>
      </c>
      <c r="D14" s="22">
        <v>500000</v>
      </c>
      <c r="E14" s="15"/>
    </row>
    <row r="15" spans="1:5" ht="12.75">
      <c r="A15" s="49" t="s">
        <v>9</v>
      </c>
      <c r="B15" s="26"/>
      <c r="C15" s="19" t="s">
        <v>10</v>
      </c>
      <c r="D15" s="20">
        <f>SUM(D16)</f>
        <v>0</v>
      </c>
      <c r="E15" s="15"/>
    </row>
    <row r="16" spans="1:5" ht="38.25">
      <c r="A16" s="50"/>
      <c r="B16" s="27">
        <v>2850</v>
      </c>
      <c r="C16" s="18" t="s">
        <v>11</v>
      </c>
      <c r="D16" s="22"/>
      <c r="E16" s="15"/>
    </row>
    <row r="17" spans="1:5" ht="12.75">
      <c r="A17" s="49" t="s">
        <v>12</v>
      </c>
      <c r="B17" s="26"/>
      <c r="C17" s="19" t="s">
        <v>13</v>
      </c>
      <c r="D17" s="20">
        <f>SUM(D18:D20)</f>
        <v>0</v>
      </c>
      <c r="E17" s="15"/>
    </row>
    <row r="18" spans="1:5" ht="12.75">
      <c r="A18" s="50"/>
      <c r="B18" s="27">
        <v>4210</v>
      </c>
      <c r="C18" s="18" t="s">
        <v>14</v>
      </c>
      <c r="D18" s="22"/>
      <c r="E18" s="15"/>
    </row>
    <row r="19" spans="1:5" ht="12.75">
      <c r="A19" s="50"/>
      <c r="B19" s="27">
        <v>4300</v>
      </c>
      <c r="C19" s="18" t="s">
        <v>15</v>
      </c>
      <c r="D19" s="22"/>
      <c r="E19" s="15"/>
    </row>
    <row r="20" spans="1:5" ht="14.25" customHeight="1" thickBot="1">
      <c r="A20" s="55"/>
      <c r="B20" s="56">
        <v>4430</v>
      </c>
      <c r="C20" s="57" t="s">
        <v>16</v>
      </c>
      <c r="D20" s="58"/>
      <c r="E20" s="15"/>
    </row>
    <row r="21" spans="1:5" ht="13.5" thickBot="1">
      <c r="A21" s="62">
        <v>500</v>
      </c>
      <c r="B21" s="63"/>
      <c r="C21" s="64" t="s">
        <v>17</v>
      </c>
      <c r="D21" s="65">
        <f>SUM(D22)</f>
        <v>0</v>
      </c>
      <c r="E21" s="15"/>
    </row>
    <row r="22" spans="1:5" ht="12.75">
      <c r="A22" s="59">
        <v>50095</v>
      </c>
      <c r="B22" s="60"/>
      <c r="C22" s="61" t="s">
        <v>13</v>
      </c>
      <c r="D22" s="28">
        <f>SUM(D23:D23)</f>
        <v>0</v>
      </c>
      <c r="E22" s="15"/>
    </row>
    <row r="23" spans="1:5" ht="13.5" thickBot="1">
      <c r="A23" s="66"/>
      <c r="B23" s="56">
        <v>4300</v>
      </c>
      <c r="C23" s="57" t="s">
        <v>15</v>
      </c>
      <c r="D23" s="58"/>
      <c r="E23" s="15"/>
    </row>
    <row r="24" spans="1:5" ht="13.5" thickBot="1">
      <c r="A24" s="62">
        <v>600</v>
      </c>
      <c r="B24" s="63"/>
      <c r="C24" s="64" t="s">
        <v>18</v>
      </c>
      <c r="D24" s="65">
        <f>SUM(D25,D29,D27,D31)</f>
        <v>5258000</v>
      </c>
      <c r="E24" s="15"/>
    </row>
    <row r="25" spans="1:5" ht="12.75">
      <c r="A25" s="59">
        <v>60004</v>
      </c>
      <c r="B25" s="60"/>
      <c r="C25" s="61" t="s">
        <v>19</v>
      </c>
      <c r="D25" s="28">
        <f>SUM(D26)</f>
        <v>0</v>
      </c>
      <c r="E25" s="15"/>
    </row>
    <row r="26" spans="1:5" ht="45">
      <c r="A26" s="21"/>
      <c r="B26" s="27">
        <v>2310</v>
      </c>
      <c r="C26" s="44" t="s">
        <v>20</v>
      </c>
      <c r="D26" s="22"/>
      <c r="E26" s="15">
        <v>781</v>
      </c>
    </row>
    <row r="27" spans="1:5" ht="12.75">
      <c r="A27" s="31">
        <v>60013</v>
      </c>
      <c r="B27" s="26"/>
      <c r="C27" s="19" t="s">
        <v>138</v>
      </c>
      <c r="D27" s="20">
        <f>SUM(D28:D28)</f>
        <v>0</v>
      </c>
      <c r="E27" s="15"/>
    </row>
    <row r="28" spans="1:5" ht="33.75">
      <c r="A28" s="51"/>
      <c r="B28" s="27">
        <v>2710</v>
      </c>
      <c r="C28" s="44" t="s">
        <v>22</v>
      </c>
      <c r="D28" s="22"/>
      <c r="E28" s="15">
        <v>50000</v>
      </c>
    </row>
    <row r="29" spans="1:5" ht="12.75">
      <c r="A29" s="31">
        <v>60014</v>
      </c>
      <c r="B29" s="26"/>
      <c r="C29" s="19" t="s">
        <v>21</v>
      </c>
      <c r="D29" s="20">
        <f>SUM(D30:D30)</f>
        <v>0</v>
      </c>
      <c r="E29" s="15"/>
    </row>
    <row r="30" spans="1:7" ht="33.75">
      <c r="A30" s="51"/>
      <c r="B30" s="27">
        <v>2710</v>
      </c>
      <c r="C30" s="44" t="s">
        <v>22</v>
      </c>
      <c r="D30" s="22"/>
      <c r="E30" s="76"/>
      <c r="F30" s="13"/>
      <c r="G30" s="13"/>
    </row>
    <row r="31" spans="1:5" ht="12.75">
      <c r="A31" s="31">
        <v>60016</v>
      </c>
      <c r="B31" s="26"/>
      <c r="C31" s="19" t="s">
        <v>23</v>
      </c>
      <c r="D31" s="20">
        <f>SUM(D32:D38)</f>
        <v>5258000</v>
      </c>
      <c r="E31" s="15"/>
    </row>
    <row r="32" spans="1:5" ht="12.75">
      <c r="A32" s="21"/>
      <c r="B32" s="27">
        <v>4270</v>
      </c>
      <c r="C32" s="18" t="s">
        <v>24</v>
      </c>
      <c r="D32" s="22"/>
      <c r="E32" s="15"/>
    </row>
    <row r="33" spans="1:5" ht="12.75">
      <c r="A33" s="21"/>
      <c r="B33" s="27">
        <v>4300</v>
      </c>
      <c r="C33" s="18" t="s">
        <v>15</v>
      </c>
      <c r="D33" s="22"/>
      <c r="E33" s="15">
        <v>-781</v>
      </c>
    </row>
    <row r="34" spans="1:5" ht="12.75">
      <c r="A34" s="21"/>
      <c r="B34" s="27">
        <v>4430</v>
      </c>
      <c r="C34" s="18" t="s">
        <v>16</v>
      </c>
      <c r="D34" s="22"/>
      <c r="E34" s="15"/>
    </row>
    <row r="35" spans="1:5" ht="25.5">
      <c r="A35" s="21"/>
      <c r="B35" s="27">
        <v>4590</v>
      </c>
      <c r="C35" s="18" t="s">
        <v>25</v>
      </c>
      <c r="D35" s="22"/>
      <c r="E35" s="15"/>
    </row>
    <row r="36" spans="1:5" ht="12.75">
      <c r="A36" s="21"/>
      <c r="B36" s="27">
        <v>6050</v>
      </c>
      <c r="C36" s="18" t="s">
        <v>26</v>
      </c>
      <c r="D36" s="22">
        <v>5208000</v>
      </c>
      <c r="E36" s="15">
        <v>50000</v>
      </c>
    </row>
    <row r="37" spans="1:5" ht="12.75">
      <c r="A37" s="21"/>
      <c r="B37" s="27">
        <v>6058</v>
      </c>
      <c r="C37" s="18" t="s">
        <v>26</v>
      </c>
      <c r="D37" s="22">
        <v>0</v>
      </c>
      <c r="E37" s="15"/>
    </row>
    <row r="38" spans="1:5" ht="13.5" thickBot="1">
      <c r="A38" s="66"/>
      <c r="B38" s="56">
        <v>6059</v>
      </c>
      <c r="C38" s="57" t="s">
        <v>26</v>
      </c>
      <c r="D38" s="58">
        <v>50000</v>
      </c>
      <c r="E38" s="15"/>
    </row>
    <row r="39" spans="1:5" ht="13.5" thickBot="1">
      <c r="A39" s="62">
        <v>700</v>
      </c>
      <c r="B39" s="63"/>
      <c r="C39" s="64" t="s">
        <v>27</v>
      </c>
      <c r="D39" s="65">
        <f>SUM(D40,D44)</f>
        <v>0</v>
      </c>
      <c r="E39" s="15"/>
    </row>
    <row r="40" spans="1:5" ht="12.75">
      <c r="A40" s="59">
        <v>70005</v>
      </c>
      <c r="B40" s="60"/>
      <c r="C40" s="61" t="s">
        <v>28</v>
      </c>
      <c r="D40" s="28">
        <f>SUM(D41:D43)</f>
        <v>0</v>
      </c>
      <c r="E40" s="15"/>
    </row>
    <row r="41" spans="1:5" ht="12.75">
      <c r="A41" s="31"/>
      <c r="B41" s="27">
        <v>4260</v>
      </c>
      <c r="C41" s="18" t="s">
        <v>43</v>
      </c>
      <c r="D41" s="22"/>
      <c r="E41" s="15"/>
    </row>
    <row r="42" spans="1:5" ht="12.75">
      <c r="A42" s="21"/>
      <c r="B42" s="27">
        <v>4300</v>
      </c>
      <c r="C42" s="18" t="s">
        <v>15</v>
      </c>
      <c r="D42" s="22"/>
      <c r="E42" s="15"/>
    </row>
    <row r="43" spans="1:5" ht="25.5">
      <c r="A43" s="21"/>
      <c r="B43" s="27">
        <v>4590</v>
      </c>
      <c r="C43" s="18" t="s">
        <v>25</v>
      </c>
      <c r="D43" s="22"/>
      <c r="E43" s="15"/>
    </row>
    <row r="44" spans="1:5" ht="12.75">
      <c r="A44" s="31">
        <v>70095</v>
      </c>
      <c r="B44" s="26"/>
      <c r="C44" s="19" t="s">
        <v>13</v>
      </c>
      <c r="D44" s="20">
        <f>SUM(D45:D45)</f>
        <v>0</v>
      </c>
      <c r="E44" s="15"/>
    </row>
    <row r="45" spans="1:5" ht="13.5" thickBot="1">
      <c r="A45" s="66"/>
      <c r="B45" s="56">
        <v>4300</v>
      </c>
      <c r="C45" s="57" t="s">
        <v>15</v>
      </c>
      <c r="D45" s="58"/>
      <c r="E45" s="15"/>
    </row>
    <row r="46" spans="1:5" ht="13.5" thickBot="1">
      <c r="A46" s="62">
        <v>710</v>
      </c>
      <c r="B46" s="63"/>
      <c r="C46" s="64" t="s">
        <v>29</v>
      </c>
      <c r="D46" s="65">
        <f>SUM(D47,D49,D51)</f>
        <v>0</v>
      </c>
      <c r="E46" s="15"/>
    </row>
    <row r="47" spans="1:5" ht="12.75">
      <c r="A47" s="59">
        <v>71004</v>
      </c>
      <c r="B47" s="60"/>
      <c r="C47" s="61" t="s">
        <v>30</v>
      </c>
      <c r="D47" s="28">
        <f>SUM(D48:D48)</f>
        <v>0</v>
      </c>
      <c r="E47" s="15"/>
    </row>
    <row r="48" spans="1:5" ht="12.75">
      <c r="A48" s="21"/>
      <c r="B48" s="27">
        <v>4300</v>
      </c>
      <c r="C48" s="18" t="s">
        <v>15</v>
      </c>
      <c r="D48" s="22"/>
      <c r="E48" s="15"/>
    </row>
    <row r="49" spans="1:5" ht="25.5">
      <c r="A49" s="31">
        <v>71013</v>
      </c>
      <c r="B49" s="26"/>
      <c r="C49" s="19" t="s">
        <v>31</v>
      </c>
      <c r="D49" s="20">
        <f>SUM(D50)</f>
        <v>0</v>
      </c>
      <c r="E49" s="15"/>
    </row>
    <row r="50" spans="1:5" ht="12.75">
      <c r="A50" s="21"/>
      <c r="B50" s="27">
        <v>4300</v>
      </c>
      <c r="C50" s="18" t="s">
        <v>15</v>
      </c>
      <c r="D50" s="22"/>
      <c r="E50" s="15"/>
    </row>
    <row r="51" spans="1:5" ht="12.75">
      <c r="A51" s="31">
        <v>71095</v>
      </c>
      <c r="B51" s="26"/>
      <c r="C51" s="19" t="s">
        <v>13</v>
      </c>
      <c r="D51" s="20">
        <f>SUM(D52)</f>
        <v>0</v>
      </c>
      <c r="E51" s="15"/>
    </row>
    <row r="52" spans="1:5" ht="13.5" thickBot="1">
      <c r="A52" s="66"/>
      <c r="B52" s="56">
        <v>4300</v>
      </c>
      <c r="C52" s="57" t="s">
        <v>15</v>
      </c>
      <c r="D52" s="58"/>
      <c r="E52" s="15"/>
    </row>
    <row r="53" spans="1:5" ht="13.5" thickBot="1">
      <c r="A53" s="62">
        <v>750</v>
      </c>
      <c r="B53" s="63"/>
      <c r="C53" s="64" t="s">
        <v>32</v>
      </c>
      <c r="D53" s="65">
        <f>SUM(D54,D60,D86,D89)</f>
        <v>0</v>
      </c>
      <c r="E53" s="15"/>
    </row>
    <row r="54" spans="1:5" ht="25.5">
      <c r="A54" s="59">
        <v>75022</v>
      </c>
      <c r="B54" s="60"/>
      <c r="C54" s="61" t="s">
        <v>33</v>
      </c>
      <c r="D54" s="28">
        <f>SUM(D55:D59)</f>
        <v>0</v>
      </c>
      <c r="E54" s="15"/>
    </row>
    <row r="55" spans="1:5" ht="12.75">
      <c r="A55" s="21"/>
      <c r="B55" s="27">
        <v>3030</v>
      </c>
      <c r="C55" s="18" t="s">
        <v>34</v>
      </c>
      <c r="D55" s="22"/>
      <c r="E55" s="15"/>
    </row>
    <row r="56" spans="1:5" ht="12.75">
      <c r="A56" s="21"/>
      <c r="B56" s="27">
        <v>4210</v>
      </c>
      <c r="C56" s="18" t="s">
        <v>14</v>
      </c>
      <c r="D56" s="22"/>
      <c r="E56" s="15"/>
    </row>
    <row r="57" spans="1:5" ht="12.75">
      <c r="A57" s="21"/>
      <c r="B57" s="27">
        <v>4300</v>
      </c>
      <c r="C57" s="18" t="s">
        <v>15</v>
      </c>
      <c r="D57" s="22"/>
      <c r="E57" s="15"/>
    </row>
    <row r="58" spans="1:5" ht="12.75">
      <c r="A58" s="21"/>
      <c r="B58" s="27">
        <v>4410</v>
      </c>
      <c r="C58" s="18" t="s">
        <v>48</v>
      </c>
      <c r="D58" s="22"/>
      <c r="E58" s="15"/>
    </row>
    <row r="59" spans="1:5" ht="12.75">
      <c r="A59" s="21"/>
      <c r="B59" s="27">
        <v>4430</v>
      </c>
      <c r="C59" s="18" t="s">
        <v>16</v>
      </c>
      <c r="D59" s="22"/>
      <c r="E59" s="15"/>
    </row>
    <row r="60" spans="1:5" ht="25.5">
      <c r="A60" s="31">
        <v>75023</v>
      </c>
      <c r="B60" s="26"/>
      <c r="C60" s="19" t="s">
        <v>35</v>
      </c>
      <c r="D60" s="20">
        <f>SUM(D61:D85)</f>
        <v>0</v>
      </c>
      <c r="E60" s="15"/>
    </row>
    <row r="61" spans="1:5" ht="25.5">
      <c r="A61" s="21"/>
      <c r="B61" s="27">
        <v>3020</v>
      </c>
      <c r="C61" s="18" t="s">
        <v>36</v>
      </c>
      <c r="D61" s="22"/>
      <c r="E61" s="15"/>
    </row>
    <row r="62" spans="1:5" ht="12.75">
      <c r="A62" s="21"/>
      <c r="B62" s="27">
        <v>4010</v>
      </c>
      <c r="C62" s="18" t="s">
        <v>37</v>
      </c>
      <c r="D62" s="22"/>
      <c r="E62" s="15"/>
    </row>
    <row r="63" spans="1:5" ht="12.75">
      <c r="A63" s="21"/>
      <c r="B63" s="27">
        <v>4040</v>
      </c>
      <c r="C63" s="18" t="s">
        <v>38</v>
      </c>
      <c r="D63" s="22"/>
      <c r="E63" s="15"/>
    </row>
    <row r="64" spans="1:5" ht="12.75">
      <c r="A64" s="21"/>
      <c r="B64" s="27">
        <v>4110</v>
      </c>
      <c r="C64" s="18" t="s">
        <v>39</v>
      </c>
      <c r="D64" s="22"/>
      <c r="E64" s="15"/>
    </row>
    <row r="65" spans="1:5" ht="12.75">
      <c r="A65" s="21"/>
      <c r="B65" s="27">
        <v>4120</v>
      </c>
      <c r="C65" s="18" t="s">
        <v>40</v>
      </c>
      <c r="D65" s="22"/>
      <c r="E65" s="15"/>
    </row>
    <row r="66" spans="1:5" ht="25.5">
      <c r="A66" s="21"/>
      <c r="B66" s="27">
        <v>4140</v>
      </c>
      <c r="C66" s="18" t="s">
        <v>41</v>
      </c>
      <c r="D66" s="22"/>
      <c r="E66" s="15"/>
    </row>
    <row r="67" spans="1:5" ht="12.75">
      <c r="A67" s="21"/>
      <c r="B67" s="27">
        <v>4170</v>
      </c>
      <c r="C67" s="18" t="s">
        <v>42</v>
      </c>
      <c r="D67" s="22"/>
      <c r="E67" s="15"/>
    </row>
    <row r="68" spans="1:5" ht="12.75">
      <c r="A68" s="21"/>
      <c r="B68" s="27">
        <v>4210</v>
      </c>
      <c r="C68" s="18" t="s">
        <v>14</v>
      </c>
      <c r="D68" s="22"/>
      <c r="E68" s="15">
        <v>-17200</v>
      </c>
    </row>
    <row r="69" spans="1:5" ht="25.5">
      <c r="A69" s="21"/>
      <c r="B69" s="27">
        <v>4240</v>
      </c>
      <c r="C69" s="18" t="s">
        <v>74</v>
      </c>
      <c r="D69" s="22"/>
      <c r="E69" s="15">
        <v>17000</v>
      </c>
    </row>
    <row r="70" spans="1:5" ht="12.75">
      <c r="A70" s="21"/>
      <c r="B70" s="27">
        <v>4260</v>
      </c>
      <c r="C70" s="18" t="s">
        <v>43</v>
      </c>
      <c r="D70" s="22"/>
      <c r="E70" s="15"/>
    </row>
    <row r="71" spans="1:5" ht="12.75">
      <c r="A71" s="21"/>
      <c r="B71" s="27">
        <v>4270</v>
      </c>
      <c r="C71" s="18" t="s">
        <v>24</v>
      </c>
      <c r="D71" s="22"/>
      <c r="E71" s="15"/>
    </row>
    <row r="72" spans="1:5" ht="12.75">
      <c r="A72" s="21"/>
      <c r="B72" s="27">
        <v>4280</v>
      </c>
      <c r="C72" s="18" t="s">
        <v>44</v>
      </c>
      <c r="D72" s="22"/>
      <c r="E72" s="15"/>
    </row>
    <row r="73" spans="1:5" ht="12.75">
      <c r="A73" s="21"/>
      <c r="B73" s="27">
        <v>4300</v>
      </c>
      <c r="C73" s="18" t="s">
        <v>15</v>
      </c>
      <c r="D73" s="22"/>
      <c r="E73" s="15">
        <v>30000</v>
      </c>
    </row>
    <row r="74" spans="1:5" ht="12.75">
      <c r="A74" s="21"/>
      <c r="B74" s="27">
        <v>4350</v>
      </c>
      <c r="C74" s="18" t="s">
        <v>45</v>
      </c>
      <c r="D74" s="22"/>
      <c r="E74" s="15"/>
    </row>
    <row r="75" spans="1:5" ht="25.5">
      <c r="A75" s="21"/>
      <c r="B75" s="27">
        <v>4360</v>
      </c>
      <c r="C75" s="18" t="s">
        <v>46</v>
      </c>
      <c r="D75" s="22"/>
      <c r="E75" s="15"/>
    </row>
    <row r="76" spans="1:5" ht="25.5">
      <c r="A76" s="21"/>
      <c r="B76" s="27">
        <v>4370</v>
      </c>
      <c r="C76" s="18" t="s">
        <v>47</v>
      </c>
      <c r="D76" s="22"/>
      <c r="E76" s="15"/>
    </row>
    <row r="77" spans="1:5" ht="12.75">
      <c r="A77" s="21"/>
      <c r="B77" s="27">
        <v>4410</v>
      </c>
      <c r="C77" s="18" t="s">
        <v>48</v>
      </c>
      <c r="D77" s="22"/>
      <c r="E77" s="15"/>
    </row>
    <row r="78" spans="1:5" ht="12.75">
      <c r="A78" s="21"/>
      <c r="B78" s="27">
        <v>4420</v>
      </c>
      <c r="C78" s="18" t="s">
        <v>49</v>
      </c>
      <c r="D78" s="22"/>
      <c r="E78" s="15"/>
    </row>
    <row r="79" spans="1:5" ht="12.75">
      <c r="A79" s="21"/>
      <c r="B79" s="27">
        <v>4430</v>
      </c>
      <c r="C79" s="18" t="s">
        <v>16</v>
      </c>
      <c r="D79" s="22"/>
      <c r="E79" s="15"/>
    </row>
    <row r="80" spans="1:5" ht="25.5">
      <c r="A80" s="21"/>
      <c r="B80" s="27">
        <v>4440</v>
      </c>
      <c r="C80" s="18" t="s">
        <v>50</v>
      </c>
      <c r="D80" s="22"/>
      <c r="E80" s="15"/>
    </row>
    <row r="81" spans="1:5" ht="12.75">
      <c r="A81" s="21"/>
      <c r="B81" s="27">
        <v>4580</v>
      </c>
      <c r="C81" s="18" t="s">
        <v>140</v>
      </c>
      <c r="D81" s="22"/>
      <c r="E81" s="15">
        <v>100</v>
      </c>
    </row>
    <row r="82" spans="1:5" ht="25.5">
      <c r="A82" s="21"/>
      <c r="B82" s="27">
        <v>4610</v>
      </c>
      <c r="C82" s="18" t="s">
        <v>139</v>
      </c>
      <c r="D82" s="22"/>
      <c r="E82" s="15">
        <v>100</v>
      </c>
    </row>
    <row r="83" spans="1:5" ht="25.5">
      <c r="A83" s="21"/>
      <c r="B83" s="27">
        <v>4700</v>
      </c>
      <c r="C83" s="18" t="s">
        <v>51</v>
      </c>
      <c r="D83" s="22"/>
      <c r="E83" s="15"/>
    </row>
    <row r="84" spans="1:5" ht="25.5">
      <c r="A84" s="21"/>
      <c r="B84" s="27">
        <v>4740</v>
      </c>
      <c r="C84" s="18" t="s">
        <v>52</v>
      </c>
      <c r="D84" s="22"/>
      <c r="E84" s="15"/>
    </row>
    <row r="85" spans="1:5" ht="25.5">
      <c r="A85" s="21"/>
      <c r="B85" s="27">
        <v>4750</v>
      </c>
      <c r="C85" s="18" t="s">
        <v>53</v>
      </c>
      <c r="D85" s="22"/>
      <c r="E85" s="15"/>
    </row>
    <row r="86" spans="1:5" ht="25.5">
      <c r="A86" s="31">
        <v>75075</v>
      </c>
      <c r="B86" s="26"/>
      <c r="C86" s="19" t="s">
        <v>54</v>
      </c>
      <c r="D86" s="20">
        <f>SUM(D87:D88)</f>
        <v>0</v>
      </c>
      <c r="E86" s="15"/>
    </row>
    <row r="87" spans="1:5" ht="12.75">
      <c r="A87" s="31"/>
      <c r="B87" s="27">
        <v>4210</v>
      </c>
      <c r="C87" s="27" t="s">
        <v>14</v>
      </c>
      <c r="D87" s="22"/>
      <c r="E87" s="15"/>
    </row>
    <row r="88" spans="1:5" ht="12.75">
      <c r="A88" s="21"/>
      <c r="B88" s="27">
        <v>4300</v>
      </c>
      <c r="C88" s="18" t="s">
        <v>15</v>
      </c>
      <c r="D88" s="22"/>
      <c r="E88" s="15"/>
    </row>
    <row r="89" spans="1:5" ht="12.75">
      <c r="A89" s="31">
        <v>75095</v>
      </c>
      <c r="B89" s="26"/>
      <c r="C89" s="19" t="s">
        <v>13</v>
      </c>
      <c r="D89" s="20">
        <f>SUM(D90:D98)</f>
        <v>0</v>
      </c>
      <c r="E89" s="15"/>
    </row>
    <row r="90" spans="1:5" ht="12.75">
      <c r="A90" s="21"/>
      <c r="B90" s="27">
        <v>4210</v>
      </c>
      <c r="C90" s="18" t="s">
        <v>14</v>
      </c>
      <c r="D90" s="22"/>
      <c r="E90" s="15"/>
    </row>
    <row r="91" spans="1:5" ht="12.75">
      <c r="A91" s="21"/>
      <c r="B91" s="27">
        <v>4260</v>
      </c>
      <c r="C91" s="18" t="s">
        <v>43</v>
      </c>
      <c r="D91" s="22"/>
      <c r="E91" s="15"/>
    </row>
    <row r="92" spans="1:5" ht="12.75">
      <c r="A92" s="21"/>
      <c r="B92" s="27">
        <v>4270</v>
      </c>
      <c r="C92" s="18" t="s">
        <v>24</v>
      </c>
      <c r="D92" s="22"/>
      <c r="E92" s="15"/>
    </row>
    <row r="93" spans="1:5" ht="12.75">
      <c r="A93" s="21"/>
      <c r="B93" s="27">
        <v>4300</v>
      </c>
      <c r="C93" s="18" t="s">
        <v>15</v>
      </c>
      <c r="D93" s="22"/>
      <c r="E93" s="15"/>
    </row>
    <row r="94" spans="1:5" ht="12.75">
      <c r="A94" s="21"/>
      <c r="B94" s="27">
        <v>4350</v>
      </c>
      <c r="C94" s="18" t="s">
        <v>55</v>
      </c>
      <c r="D94" s="22"/>
      <c r="E94" s="15"/>
    </row>
    <row r="95" spans="1:5" ht="25.5">
      <c r="A95" s="21"/>
      <c r="B95" s="27">
        <v>4370</v>
      </c>
      <c r="C95" s="18" t="s">
        <v>47</v>
      </c>
      <c r="D95" s="22"/>
      <c r="E95" s="15"/>
    </row>
    <row r="96" spans="1:5" ht="25.5">
      <c r="A96" s="21"/>
      <c r="B96" s="27">
        <v>4400</v>
      </c>
      <c r="C96" s="18" t="s">
        <v>56</v>
      </c>
      <c r="D96" s="22"/>
      <c r="E96" s="15"/>
    </row>
    <row r="97" spans="1:5" ht="12.75">
      <c r="A97" s="21"/>
      <c r="B97" s="27">
        <v>4430</v>
      </c>
      <c r="C97" s="18" t="s">
        <v>16</v>
      </c>
      <c r="D97" s="22"/>
      <c r="E97" s="15"/>
    </row>
    <row r="98" spans="1:5" ht="26.25" thickBot="1">
      <c r="A98" s="66"/>
      <c r="B98" s="56">
        <v>4750</v>
      </c>
      <c r="C98" s="57" t="s">
        <v>53</v>
      </c>
      <c r="D98" s="58"/>
      <c r="E98" s="15"/>
    </row>
    <row r="99" spans="1:5" ht="26.25" thickBot="1">
      <c r="A99" s="62">
        <v>754</v>
      </c>
      <c r="B99" s="63"/>
      <c r="C99" s="64" t="s">
        <v>57</v>
      </c>
      <c r="D99" s="65">
        <f>D100+D102+D115+D117</f>
        <v>65000</v>
      </c>
      <c r="E99" s="15"/>
    </row>
    <row r="100" spans="1:5" ht="12.75">
      <c r="A100" s="59">
        <v>75404</v>
      </c>
      <c r="B100" s="60"/>
      <c r="C100" s="61" t="s">
        <v>126</v>
      </c>
      <c r="D100" s="28">
        <f>D101</f>
        <v>35000</v>
      </c>
      <c r="E100" s="15"/>
    </row>
    <row r="101" spans="1:5" ht="22.5">
      <c r="A101" s="52"/>
      <c r="B101" s="27">
        <v>6170</v>
      </c>
      <c r="C101" s="44" t="s">
        <v>127</v>
      </c>
      <c r="D101" s="22">
        <v>35000</v>
      </c>
      <c r="E101" s="15"/>
    </row>
    <row r="102" spans="1:5" ht="12.75">
      <c r="A102" s="31">
        <v>75412</v>
      </c>
      <c r="B102" s="26"/>
      <c r="C102" s="19" t="s">
        <v>58</v>
      </c>
      <c r="D102" s="20">
        <f>SUM(D103:D114)</f>
        <v>0</v>
      </c>
      <c r="E102" s="15"/>
    </row>
    <row r="103" spans="1:7" ht="33.75">
      <c r="A103" s="52"/>
      <c r="B103" s="27">
        <v>2820</v>
      </c>
      <c r="C103" s="44" t="s">
        <v>59</v>
      </c>
      <c r="D103" s="22"/>
      <c r="E103" s="76">
        <v>-100000</v>
      </c>
      <c r="F103" s="13"/>
      <c r="G103" s="13"/>
    </row>
    <row r="104" spans="1:5" ht="12.75">
      <c r="A104" s="21"/>
      <c r="B104" s="27">
        <v>3030</v>
      </c>
      <c r="C104" s="18" t="s">
        <v>34</v>
      </c>
      <c r="D104" s="22"/>
      <c r="E104" s="15"/>
    </row>
    <row r="105" spans="1:5" ht="12.75">
      <c r="A105" s="21"/>
      <c r="B105" s="27">
        <v>4110</v>
      </c>
      <c r="C105" s="18" t="s">
        <v>39</v>
      </c>
      <c r="D105" s="22"/>
      <c r="E105" s="15"/>
    </row>
    <row r="106" spans="1:5" ht="12.75">
      <c r="A106" s="21"/>
      <c r="B106" s="27">
        <v>4120</v>
      </c>
      <c r="C106" s="18" t="s">
        <v>40</v>
      </c>
      <c r="D106" s="22"/>
      <c r="E106" s="15"/>
    </row>
    <row r="107" spans="1:5" ht="12.75">
      <c r="A107" s="21"/>
      <c r="B107" s="27">
        <v>4170</v>
      </c>
      <c r="C107" s="18" t="s">
        <v>42</v>
      </c>
      <c r="D107" s="22"/>
      <c r="E107" s="15"/>
    </row>
    <row r="108" spans="1:5" ht="12.75">
      <c r="A108" s="21"/>
      <c r="B108" s="27">
        <v>4210</v>
      </c>
      <c r="C108" s="18" t="s">
        <v>14</v>
      </c>
      <c r="D108" s="22"/>
      <c r="E108" s="15"/>
    </row>
    <row r="109" spans="1:5" ht="12.75">
      <c r="A109" s="21"/>
      <c r="B109" s="27">
        <v>4250</v>
      </c>
      <c r="C109" s="18" t="s">
        <v>60</v>
      </c>
      <c r="D109" s="22"/>
      <c r="E109" s="15"/>
    </row>
    <row r="110" spans="1:5" ht="12.75">
      <c r="A110" s="21"/>
      <c r="B110" s="27">
        <v>4260</v>
      </c>
      <c r="C110" s="18" t="s">
        <v>43</v>
      </c>
      <c r="D110" s="22"/>
      <c r="E110" s="15"/>
    </row>
    <row r="111" spans="1:5" ht="12.75">
      <c r="A111" s="21"/>
      <c r="B111" s="27">
        <v>4270</v>
      </c>
      <c r="C111" s="18" t="s">
        <v>24</v>
      </c>
      <c r="D111" s="22"/>
      <c r="E111" s="15"/>
    </row>
    <row r="112" spans="1:5" ht="12.75">
      <c r="A112" s="21"/>
      <c r="B112" s="27">
        <v>4280</v>
      </c>
      <c r="C112" s="18" t="s">
        <v>44</v>
      </c>
      <c r="D112" s="22"/>
      <c r="E112" s="15"/>
    </row>
    <row r="113" spans="1:5" ht="12.75">
      <c r="A113" s="21"/>
      <c r="B113" s="27">
        <v>4300</v>
      </c>
      <c r="C113" s="18" t="s">
        <v>15</v>
      </c>
      <c r="D113" s="22"/>
      <c r="E113" s="15"/>
    </row>
    <row r="114" spans="1:5" ht="12.75">
      <c r="A114" s="21"/>
      <c r="B114" s="27">
        <v>4430</v>
      </c>
      <c r="C114" s="18" t="s">
        <v>16</v>
      </c>
      <c r="D114" s="22"/>
      <c r="E114" s="15"/>
    </row>
    <row r="115" spans="1:5" ht="12.75">
      <c r="A115" s="31">
        <v>75421</v>
      </c>
      <c r="B115" s="26"/>
      <c r="C115" s="19" t="s">
        <v>62</v>
      </c>
      <c r="D115" s="20">
        <f>SUM(D116)</f>
        <v>0</v>
      </c>
      <c r="E115" s="15"/>
    </row>
    <row r="116" spans="1:5" ht="12.75">
      <c r="A116" s="66"/>
      <c r="B116" s="56">
        <v>4810</v>
      </c>
      <c r="C116" s="57" t="s">
        <v>133</v>
      </c>
      <c r="D116" s="58"/>
      <c r="E116" s="15"/>
    </row>
    <row r="117" spans="1:5" ht="12.75">
      <c r="A117" s="31">
        <v>75495</v>
      </c>
      <c r="B117" s="26"/>
      <c r="C117" s="19" t="s">
        <v>13</v>
      </c>
      <c r="D117" s="20">
        <f>SUM(D118)</f>
        <v>30000</v>
      </c>
      <c r="E117" s="15"/>
    </row>
    <row r="118" spans="1:5" ht="13.5" thickBot="1">
      <c r="A118" s="66"/>
      <c r="B118" s="56">
        <v>6050</v>
      </c>
      <c r="C118" s="57" t="s">
        <v>26</v>
      </c>
      <c r="D118" s="58">
        <v>30000</v>
      </c>
      <c r="E118" s="15">
        <v>30000</v>
      </c>
    </row>
    <row r="119" spans="1:5" ht="51.75" thickBot="1">
      <c r="A119" s="62">
        <v>756</v>
      </c>
      <c r="B119" s="63"/>
      <c r="C119" s="64" t="s">
        <v>64</v>
      </c>
      <c r="D119" s="65">
        <f>SUM(D120)</f>
        <v>0</v>
      </c>
      <c r="E119" s="15"/>
    </row>
    <row r="120" spans="1:5" ht="25.5">
      <c r="A120" s="59">
        <v>75647</v>
      </c>
      <c r="B120" s="60"/>
      <c r="C120" s="61" t="s">
        <v>65</v>
      </c>
      <c r="D120" s="28">
        <f>SUM(D121:D125)</f>
        <v>0</v>
      </c>
      <c r="E120" s="15"/>
    </row>
    <row r="121" spans="1:5" ht="12.75">
      <c r="A121" s="21"/>
      <c r="B121" s="27">
        <v>4100</v>
      </c>
      <c r="C121" s="18" t="s">
        <v>66</v>
      </c>
      <c r="D121" s="22"/>
      <c r="E121" s="15"/>
    </row>
    <row r="122" spans="1:5" ht="12.75">
      <c r="A122" s="21"/>
      <c r="B122" s="27">
        <v>4110</v>
      </c>
      <c r="C122" s="18" t="s">
        <v>39</v>
      </c>
      <c r="D122" s="22"/>
      <c r="E122" s="15"/>
    </row>
    <row r="123" spans="1:5" ht="12.75">
      <c r="A123" s="21"/>
      <c r="B123" s="27">
        <v>4120</v>
      </c>
      <c r="C123" s="18" t="s">
        <v>40</v>
      </c>
      <c r="D123" s="22"/>
      <c r="E123" s="15"/>
    </row>
    <row r="124" spans="1:5" ht="12.75">
      <c r="A124" s="21"/>
      <c r="B124" s="27">
        <v>4210</v>
      </c>
      <c r="C124" s="18" t="s">
        <v>14</v>
      </c>
      <c r="D124" s="22"/>
      <c r="E124" s="15"/>
    </row>
    <row r="125" spans="1:5" ht="13.5" thickBot="1">
      <c r="A125" s="66"/>
      <c r="B125" s="56">
        <v>4300</v>
      </c>
      <c r="C125" s="57" t="s">
        <v>15</v>
      </c>
      <c r="D125" s="58"/>
      <c r="E125" s="15"/>
    </row>
    <row r="126" spans="1:5" ht="13.5" thickBot="1">
      <c r="A126" s="62">
        <v>757</v>
      </c>
      <c r="B126" s="63"/>
      <c r="C126" s="64" t="s">
        <v>67</v>
      </c>
      <c r="D126" s="65">
        <f>D129+D127</f>
        <v>0</v>
      </c>
      <c r="E126" s="15"/>
    </row>
    <row r="127" spans="1:5" ht="38.25">
      <c r="A127" s="59">
        <v>75702</v>
      </c>
      <c r="B127" s="60"/>
      <c r="C127" s="61" t="s">
        <v>68</v>
      </c>
      <c r="D127" s="28">
        <f>SUM(D128:D128)</f>
        <v>0</v>
      </c>
      <c r="E127" s="15"/>
    </row>
    <row r="128" spans="1:5" ht="38.25">
      <c r="A128" s="66"/>
      <c r="B128" s="56">
        <v>8070</v>
      </c>
      <c r="C128" s="57" t="s">
        <v>69</v>
      </c>
      <c r="D128" s="58"/>
      <c r="E128" s="15"/>
    </row>
    <row r="129" spans="1:5" ht="38.25">
      <c r="A129" s="31">
        <v>75704</v>
      </c>
      <c r="B129" s="26"/>
      <c r="C129" s="19" t="s">
        <v>143</v>
      </c>
      <c r="D129" s="20">
        <f>SUM(D130:D130)</f>
        <v>0</v>
      </c>
      <c r="E129" s="15"/>
    </row>
    <row r="130" spans="1:5" ht="13.5" thickBot="1">
      <c r="A130" s="53"/>
      <c r="B130" s="54">
        <v>8020</v>
      </c>
      <c r="C130" s="23" t="s">
        <v>142</v>
      </c>
      <c r="D130" s="24"/>
      <c r="E130" s="15">
        <v>19643</v>
      </c>
    </row>
    <row r="131" spans="1:5" ht="13.5" thickBot="1">
      <c r="A131" s="62">
        <v>758</v>
      </c>
      <c r="B131" s="63"/>
      <c r="C131" s="64" t="s">
        <v>70</v>
      </c>
      <c r="D131" s="65">
        <f>SUM(D132)</f>
        <v>0</v>
      </c>
      <c r="E131" s="15"/>
    </row>
    <row r="132" spans="1:5" ht="12.75">
      <c r="A132" s="59">
        <v>75818</v>
      </c>
      <c r="B132" s="60"/>
      <c r="C132" s="61" t="s">
        <v>63</v>
      </c>
      <c r="D132" s="28">
        <f>SUM(D133)</f>
        <v>0</v>
      </c>
      <c r="E132" s="15"/>
    </row>
    <row r="133" spans="1:5" ht="13.5" thickBot="1">
      <c r="A133" s="66"/>
      <c r="B133" s="56">
        <v>4810</v>
      </c>
      <c r="C133" s="57" t="s">
        <v>133</v>
      </c>
      <c r="D133" s="58"/>
      <c r="E133" s="15"/>
    </row>
    <row r="134" spans="1:5" ht="13.5" thickBot="1">
      <c r="A134" s="62">
        <v>801</v>
      </c>
      <c r="B134" s="63"/>
      <c r="C134" s="64" t="s">
        <v>71</v>
      </c>
      <c r="D134" s="65">
        <f>SUM(D135,D157,D171,D196,D218,D232,D252,D256,D272)</f>
        <v>50000</v>
      </c>
      <c r="E134" s="15"/>
    </row>
    <row r="135" spans="1:5" ht="12.75">
      <c r="A135" s="59">
        <v>80101</v>
      </c>
      <c r="B135" s="60"/>
      <c r="C135" s="61" t="s">
        <v>72</v>
      </c>
      <c r="D135" s="28">
        <f>SUM(D136:D156)</f>
        <v>0</v>
      </c>
      <c r="E135" s="15"/>
    </row>
    <row r="136" spans="1:5" ht="25.5">
      <c r="A136" s="21"/>
      <c r="B136" s="27">
        <v>3020</v>
      </c>
      <c r="C136" s="18" t="s">
        <v>73</v>
      </c>
      <c r="D136" s="22"/>
      <c r="E136" s="15"/>
    </row>
    <row r="137" spans="1:7" ht="12.75">
      <c r="A137" s="21"/>
      <c r="B137" s="27">
        <v>4010</v>
      </c>
      <c r="C137" s="18" t="s">
        <v>37</v>
      </c>
      <c r="D137" s="22"/>
      <c r="E137" s="15">
        <v>-44500</v>
      </c>
      <c r="G137">
        <f>59121400/3415961</f>
        <v>17.307399001335202</v>
      </c>
    </row>
    <row r="138" spans="1:7" ht="12.75">
      <c r="A138" s="21"/>
      <c r="B138" s="27">
        <v>4040</v>
      </c>
      <c r="C138" s="18" t="s">
        <v>38</v>
      </c>
      <c r="D138" s="22"/>
      <c r="E138" s="15"/>
      <c r="G138">
        <f>9457400/3415961</f>
        <v>2.768591327594197</v>
      </c>
    </row>
    <row r="139" spans="1:5" ht="12.75">
      <c r="A139" s="21"/>
      <c r="B139" s="27">
        <v>4110</v>
      </c>
      <c r="C139" s="18" t="s">
        <v>39</v>
      </c>
      <c r="D139" s="22"/>
      <c r="E139" s="15">
        <v>-7560</v>
      </c>
    </row>
    <row r="140" spans="1:7" ht="12.75">
      <c r="A140" s="21"/>
      <c r="B140" s="27">
        <v>4120</v>
      </c>
      <c r="C140" s="18" t="s">
        <v>40</v>
      </c>
      <c r="D140" s="22"/>
      <c r="E140" s="15">
        <f>-1185-255</f>
        <v>-1440</v>
      </c>
      <c r="G140">
        <f>44500*0.02768</f>
        <v>1231.76</v>
      </c>
    </row>
    <row r="141" spans="1:5" ht="12.75">
      <c r="A141" s="21"/>
      <c r="B141" s="27">
        <v>4170</v>
      </c>
      <c r="C141" s="18" t="s">
        <v>42</v>
      </c>
      <c r="D141" s="22"/>
      <c r="E141" s="15"/>
    </row>
    <row r="142" spans="1:5" ht="12.75">
      <c r="A142" s="21"/>
      <c r="B142" s="27">
        <v>4210</v>
      </c>
      <c r="C142" s="18" t="s">
        <v>14</v>
      </c>
      <c r="D142" s="22"/>
      <c r="E142" s="15"/>
    </row>
    <row r="143" spans="1:5" ht="25.5">
      <c r="A143" s="21"/>
      <c r="B143" s="27">
        <v>4240</v>
      </c>
      <c r="C143" s="18" t="s">
        <v>74</v>
      </c>
      <c r="D143" s="22"/>
      <c r="E143" s="15"/>
    </row>
    <row r="144" spans="1:5" ht="12.75">
      <c r="A144" s="21"/>
      <c r="B144" s="27">
        <v>4260</v>
      </c>
      <c r="C144" s="18" t="s">
        <v>43</v>
      </c>
      <c r="D144" s="22"/>
      <c r="E144" s="15"/>
    </row>
    <row r="145" spans="1:5" ht="12.75">
      <c r="A145" s="21"/>
      <c r="B145" s="27">
        <v>4270</v>
      </c>
      <c r="C145" s="18" t="s">
        <v>24</v>
      </c>
      <c r="D145" s="22"/>
      <c r="E145" s="15"/>
    </row>
    <row r="146" spans="1:5" ht="12.75">
      <c r="A146" s="21"/>
      <c r="B146" s="27">
        <v>4280</v>
      </c>
      <c r="C146" s="18" t="s">
        <v>44</v>
      </c>
      <c r="D146" s="22"/>
      <c r="E146" s="15"/>
    </row>
    <row r="147" spans="1:5" ht="12.75">
      <c r="A147" s="21"/>
      <c r="B147" s="27">
        <v>4300</v>
      </c>
      <c r="C147" s="18" t="s">
        <v>15</v>
      </c>
      <c r="D147" s="22"/>
      <c r="E147" s="15"/>
    </row>
    <row r="148" spans="1:5" ht="12.75">
      <c r="A148" s="21"/>
      <c r="B148" s="27">
        <v>4350</v>
      </c>
      <c r="C148" s="18" t="s">
        <v>45</v>
      </c>
      <c r="D148" s="22"/>
      <c r="E148" s="15"/>
    </row>
    <row r="149" spans="1:5" ht="25.5">
      <c r="A149" s="21"/>
      <c r="B149" s="27">
        <v>4360</v>
      </c>
      <c r="C149" s="18" t="s">
        <v>46</v>
      </c>
      <c r="D149" s="22"/>
      <c r="E149" s="15"/>
    </row>
    <row r="150" spans="1:5" ht="25.5">
      <c r="A150" s="21"/>
      <c r="B150" s="27">
        <v>4370</v>
      </c>
      <c r="C150" s="18" t="s">
        <v>47</v>
      </c>
      <c r="D150" s="22"/>
      <c r="E150" s="15"/>
    </row>
    <row r="151" spans="1:5" ht="12.75">
      <c r="A151" s="21"/>
      <c r="B151" s="27">
        <v>4410</v>
      </c>
      <c r="C151" s="18" t="s">
        <v>48</v>
      </c>
      <c r="D151" s="22"/>
      <c r="E151" s="15"/>
    </row>
    <row r="152" spans="1:5" ht="12.75">
      <c r="A152" s="21"/>
      <c r="B152" s="27">
        <v>4430</v>
      </c>
      <c r="C152" s="18" t="s">
        <v>16</v>
      </c>
      <c r="D152" s="22"/>
      <c r="E152" s="15"/>
    </row>
    <row r="153" spans="1:5" ht="25.5">
      <c r="A153" s="21"/>
      <c r="B153" s="27">
        <v>4440</v>
      </c>
      <c r="C153" s="18" t="s">
        <v>50</v>
      </c>
      <c r="D153" s="22"/>
      <c r="E153" s="15"/>
    </row>
    <row r="154" spans="1:5" ht="25.5">
      <c r="A154" s="21"/>
      <c r="B154" s="27">
        <v>4740</v>
      </c>
      <c r="C154" s="18" t="s">
        <v>52</v>
      </c>
      <c r="D154" s="22"/>
      <c r="E154" s="15"/>
    </row>
    <row r="155" spans="1:5" ht="25.5">
      <c r="A155" s="21"/>
      <c r="B155" s="27">
        <v>4750</v>
      </c>
      <c r="C155" s="18" t="s">
        <v>53</v>
      </c>
      <c r="D155" s="22"/>
      <c r="E155" s="15"/>
    </row>
    <row r="156" spans="1:5" ht="25.5">
      <c r="A156" s="21"/>
      <c r="B156" s="27">
        <v>6050</v>
      </c>
      <c r="C156" s="18" t="s">
        <v>61</v>
      </c>
      <c r="D156" s="22"/>
      <c r="E156" s="15"/>
    </row>
    <row r="157" spans="1:5" ht="25.5">
      <c r="A157" s="31">
        <v>80103</v>
      </c>
      <c r="B157" s="26"/>
      <c r="C157" s="19" t="s">
        <v>75</v>
      </c>
      <c r="D157" s="20">
        <f>SUM(D158:D170)</f>
        <v>0</v>
      </c>
      <c r="E157" s="15"/>
    </row>
    <row r="158" spans="1:5" ht="25.5">
      <c r="A158" s="31"/>
      <c r="B158" s="27">
        <v>3020</v>
      </c>
      <c r="C158" s="18" t="s">
        <v>73</v>
      </c>
      <c r="D158" s="22"/>
      <c r="E158" s="15"/>
    </row>
    <row r="159" spans="1:7" ht="12.75">
      <c r="A159" s="31"/>
      <c r="B159" s="27">
        <v>4010</v>
      </c>
      <c r="C159" s="18" t="s">
        <v>37</v>
      </c>
      <c r="D159" s="22"/>
      <c r="E159" s="15">
        <v>-1500</v>
      </c>
      <c r="G159">
        <f>2932200/156187</f>
        <v>18.773649535492712</v>
      </c>
    </row>
    <row r="160" spans="1:5" ht="12.75">
      <c r="A160" s="31"/>
      <c r="B160" s="27">
        <v>4040</v>
      </c>
      <c r="C160" s="18" t="s">
        <v>38</v>
      </c>
      <c r="D160" s="22"/>
      <c r="E160" s="15"/>
    </row>
    <row r="161" spans="1:7" ht="12.75">
      <c r="A161" s="31"/>
      <c r="B161" s="27">
        <v>4110</v>
      </c>
      <c r="C161" s="18" t="s">
        <v>39</v>
      </c>
      <c r="D161" s="22"/>
      <c r="E161" s="15"/>
      <c r="G161">
        <f>1500*0.17</f>
        <v>255.00000000000003</v>
      </c>
    </row>
    <row r="162" spans="1:5" ht="12.75">
      <c r="A162" s="31"/>
      <c r="B162" s="27">
        <v>4120</v>
      </c>
      <c r="C162" s="18" t="s">
        <v>40</v>
      </c>
      <c r="D162" s="22"/>
      <c r="E162" s="15"/>
    </row>
    <row r="163" spans="1:5" ht="12.75">
      <c r="A163" s="31"/>
      <c r="B163" s="27">
        <v>4210</v>
      </c>
      <c r="C163" s="18" t="s">
        <v>14</v>
      </c>
      <c r="D163" s="22"/>
      <c r="E163" s="15"/>
    </row>
    <row r="164" spans="1:5" ht="25.5">
      <c r="A164" s="31"/>
      <c r="B164" s="27">
        <v>4240</v>
      </c>
      <c r="C164" s="18" t="s">
        <v>74</v>
      </c>
      <c r="D164" s="22"/>
      <c r="E164" s="15"/>
    </row>
    <row r="165" spans="1:5" ht="12.75">
      <c r="A165" s="31"/>
      <c r="B165" s="27">
        <v>4270</v>
      </c>
      <c r="C165" s="18" t="s">
        <v>24</v>
      </c>
      <c r="D165" s="22"/>
      <c r="E165" s="15"/>
    </row>
    <row r="166" spans="1:5" ht="12.75">
      <c r="A166" s="31"/>
      <c r="B166" s="27">
        <v>4280</v>
      </c>
      <c r="C166" s="18" t="s">
        <v>44</v>
      </c>
      <c r="D166" s="22"/>
      <c r="E166" s="15"/>
    </row>
    <row r="167" spans="1:5" ht="12.75">
      <c r="A167" s="31"/>
      <c r="B167" s="27">
        <v>4300</v>
      </c>
      <c r="C167" s="18" t="s">
        <v>15</v>
      </c>
      <c r="D167" s="22"/>
      <c r="E167" s="15"/>
    </row>
    <row r="168" spans="1:5" ht="12.75">
      <c r="A168" s="21"/>
      <c r="B168" s="27">
        <v>4410</v>
      </c>
      <c r="C168" s="18" t="s">
        <v>48</v>
      </c>
      <c r="D168" s="22"/>
      <c r="E168" s="15"/>
    </row>
    <row r="169" spans="1:5" ht="25.5">
      <c r="A169" s="21"/>
      <c r="B169" s="27">
        <v>4440</v>
      </c>
      <c r="C169" s="18" t="s">
        <v>50</v>
      </c>
      <c r="D169" s="22"/>
      <c r="E169" s="15"/>
    </row>
    <row r="170" spans="1:5" ht="25.5">
      <c r="A170" s="21"/>
      <c r="B170" s="27">
        <v>4740</v>
      </c>
      <c r="C170" s="18" t="s">
        <v>52</v>
      </c>
      <c r="D170" s="22"/>
      <c r="E170" s="15"/>
    </row>
    <row r="171" spans="1:5" ht="12.75">
      <c r="A171" s="31">
        <v>80104</v>
      </c>
      <c r="B171" s="26"/>
      <c r="C171" s="19" t="s">
        <v>77</v>
      </c>
      <c r="D171" s="20">
        <f>SUM(D172:D195)</f>
        <v>50000</v>
      </c>
      <c r="E171" s="15"/>
    </row>
    <row r="172" spans="1:5" ht="45">
      <c r="A172" s="31"/>
      <c r="B172" s="27">
        <v>2310</v>
      </c>
      <c r="C172" s="44" t="s">
        <v>20</v>
      </c>
      <c r="D172" s="22"/>
      <c r="E172" s="15"/>
    </row>
    <row r="173" spans="1:5" ht="25.5">
      <c r="A173" s="21"/>
      <c r="B173" s="27">
        <v>3020</v>
      </c>
      <c r="C173" s="18" t="s">
        <v>73</v>
      </c>
      <c r="D173" s="22"/>
      <c r="E173" s="15"/>
    </row>
    <row r="174" spans="1:7" ht="12.75">
      <c r="A174" s="21"/>
      <c r="B174" s="27">
        <v>4010</v>
      </c>
      <c r="C174" s="18" t="s">
        <v>37</v>
      </c>
      <c r="D174" s="22"/>
      <c r="E174" s="15">
        <v>-6500</v>
      </c>
      <c r="G174">
        <f>11188800/645624</f>
        <v>17.330210772833723</v>
      </c>
    </row>
    <row r="175" spans="1:5" ht="12.75">
      <c r="A175" s="21"/>
      <c r="B175" s="27">
        <v>4040</v>
      </c>
      <c r="C175" s="18" t="s">
        <v>38</v>
      </c>
      <c r="D175" s="22"/>
      <c r="E175" s="15"/>
    </row>
    <row r="176" spans="1:7" ht="12.75">
      <c r="A176" s="21"/>
      <c r="B176" s="27">
        <v>4110</v>
      </c>
      <c r="C176" s="18" t="s">
        <v>39</v>
      </c>
      <c r="D176" s="22"/>
      <c r="E176" s="15">
        <v>-1105</v>
      </c>
      <c r="G176">
        <f>6500*0.17</f>
        <v>1105</v>
      </c>
    </row>
    <row r="177" spans="1:5" ht="12.75">
      <c r="A177" s="21"/>
      <c r="B177" s="27">
        <v>4120</v>
      </c>
      <c r="C177" s="18" t="s">
        <v>40</v>
      </c>
      <c r="D177" s="22"/>
      <c r="E177" s="15"/>
    </row>
    <row r="178" spans="1:5" ht="12.75">
      <c r="A178" s="21"/>
      <c r="B178" s="27">
        <v>4170</v>
      </c>
      <c r="C178" s="18" t="s">
        <v>42</v>
      </c>
      <c r="D178" s="22"/>
      <c r="E178" s="15"/>
    </row>
    <row r="179" spans="1:5" ht="12.75">
      <c r="A179" s="21"/>
      <c r="B179" s="27">
        <v>4210</v>
      </c>
      <c r="C179" s="18" t="s">
        <v>14</v>
      </c>
      <c r="D179" s="22"/>
      <c r="E179" s="15"/>
    </row>
    <row r="180" spans="1:5" ht="12.75">
      <c r="A180" s="21"/>
      <c r="B180" s="27">
        <v>4220</v>
      </c>
      <c r="C180" s="18" t="s">
        <v>78</v>
      </c>
      <c r="D180" s="22"/>
      <c r="E180" s="15"/>
    </row>
    <row r="181" spans="1:5" ht="12.75">
      <c r="A181" s="21"/>
      <c r="B181" s="27">
        <v>4240</v>
      </c>
      <c r="C181" s="18" t="s">
        <v>76</v>
      </c>
      <c r="D181" s="22"/>
      <c r="E181" s="15"/>
    </row>
    <row r="182" spans="1:5" ht="12.75">
      <c r="A182" s="21"/>
      <c r="B182" s="27">
        <v>4260</v>
      </c>
      <c r="C182" s="18" t="s">
        <v>43</v>
      </c>
      <c r="D182" s="22"/>
      <c r="E182" s="15"/>
    </row>
    <row r="183" spans="1:5" ht="12.75">
      <c r="A183" s="21"/>
      <c r="B183" s="27">
        <v>4270</v>
      </c>
      <c r="C183" s="18" t="s">
        <v>24</v>
      </c>
      <c r="D183" s="22"/>
      <c r="E183" s="15"/>
    </row>
    <row r="184" spans="1:5" ht="12.75">
      <c r="A184" s="21"/>
      <c r="B184" s="27">
        <v>4280</v>
      </c>
      <c r="C184" s="18" t="s">
        <v>44</v>
      </c>
      <c r="D184" s="22"/>
      <c r="E184" s="15"/>
    </row>
    <row r="185" spans="1:5" ht="12.75">
      <c r="A185" s="21"/>
      <c r="B185" s="27">
        <v>4300</v>
      </c>
      <c r="C185" s="18" t="s">
        <v>15</v>
      </c>
      <c r="D185" s="22"/>
      <c r="E185" s="15"/>
    </row>
    <row r="186" spans="1:5" ht="12.75">
      <c r="A186" s="21"/>
      <c r="B186" s="27">
        <v>4350</v>
      </c>
      <c r="C186" s="18" t="s">
        <v>45</v>
      </c>
      <c r="D186" s="22"/>
      <c r="E186" s="15"/>
    </row>
    <row r="187" spans="1:5" ht="25.5">
      <c r="A187" s="21"/>
      <c r="B187" s="27">
        <v>4370</v>
      </c>
      <c r="C187" s="18" t="s">
        <v>47</v>
      </c>
      <c r="D187" s="22"/>
      <c r="E187" s="15"/>
    </row>
    <row r="188" spans="1:5" ht="25.5">
      <c r="A188" s="21"/>
      <c r="B188" s="27">
        <v>4390</v>
      </c>
      <c r="C188" s="18" t="s">
        <v>79</v>
      </c>
      <c r="D188" s="22"/>
      <c r="E188" s="15"/>
    </row>
    <row r="189" spans="1:5" ht="12.75">
      <c r="A189" s="21"/>
      <c r="B189" s="27">
        <v>4410</v>
      </c>
      <c r="C189" s="18" t="s">
        <v>48</v>
      </c>
      <c r="D189" s="22"/>
      <c r="E189" s="15"/>
    </row>
    <row r="190" spans="1:5" ht="12.75">
      <c r="A190" s="21"/>
      <c r="B190" s="27">
        <v>4430</v>
      </c>
      <c r="C190" s="18" t="s">
        <v>16</v>
      </c>
      <c r="D190" s="22"/>
      <c r="E190" s="15"/>
    </row>
    <row r="191" spans="1:5" ht="25.5">
      <c r="A191" s="21"/>
      <c r="B191" s="27">
        <v>4440</v>
      </c>
      <c r="C191" s="18" t="s">
        <v>50</v>
      </c>
      <c r="D191" s="22"/>
      <c r="E191" s="15"/>
    </row>
    <row r="192" spans="1:5" ht="25.5">
      <c r="A192" s="21"/>
      <c r="B192" s="27">
        <v>4740</v>
      </c>
      <c r="C192" s="18" t="s">
        <v>52</v>
      </c>
      <c r="D192" s="22"/>
      <c r="E192" s="15"/>
    </row>
    <row r="193" spans="1:5" ht="25.5">
      <c r="A193" s="21"/>
      <c r="B193" s="27">
        <v>4750</v>
      </c>
      <c r="C193" s="18" t="s">
        <v>53</v>
      </c>
      <c r="D193" s="22"/>
      <c r="E193" s="15"/>
    </row>
    <row r="194" spans="1:5" ht="12.75">
      <c r="A194" s="21"/>
      <c r="B194" s="27">
        <v>6050</v>
      </c>
      <c r="C194" s="18" t="s">
        <v>26</v>
      </c>
      <c r="D194" s="22">
        <v>50000</v>
      </c>
      <c r="E194" s="15"/>
    </row>
    <row r="195" spans="1:5" ht="25.5">
      <c r="A195" s="21"/>
      <c r="B195" s="27">
        <v>6060</v>
      </c>
      <c r="C195" s="18" t="s">
        <v>61</v>
      </c>
      <c r="D195" s="22"/>
      <c r="E195" s="15"/>
    </row>
    <row r="196" spans="1:5" ht="12.75">
      <c r="A196" s="31">
        <v>80110</v>
      </c>
      <c r="B196" s="26"/>
      <c r="C196" s="19" t="s">
        <v>80</v>
      </c>
      <c r="D196" s="20">
        <f>SUM(D197:D217)</f>
        <v>0</v>
      </c>
      <c r="E196" s="15"/>
    </row>
    <row r="197" spans="1:5" ht="25.5">
      <c r="A197" s="21"/>
      <c r="B197" s="27">
        <v>3020</v>
      </c>
      <c r="C197" s="18" t="s">
        <v>73</v>
      </c>
      <c r="D197" s="22"/>
      <c r="E197" s="15"/>
    </row>
    <row r="198" spans="1:7" ht="12.75">
      <c r="A198" s="21"/>
      <c r="B198" s="27">
        <v>4010</v>
      </c>
      <c r="C198" s="18" t="s">
        <v>37</v>
      </c>
      <c r="D198" s="22"/>
      <c r="E198" s="15">
        <v>-47500</v>
      </c>
      <c r="G198">
        <f>31054300/1800857</f>
        <v>17.244178743786986</v>
      </c>
    </row>
    <row r="199" spans="1:7" ht="12.75">
      <c r="A199" s="21"/>
      <c r="B199" s="27">
        <v>4040</v>
      </c>
      <c r="C199" s="18" t="s">
        <v>38</v>
      </c>
      <c r="D199" s="22"/>
      <c r="E199" s="15"/>
      <c r="G199">
        <f>5134200/1800857</f>
        <v>2.850975952005073</v>
      </c>
    </row>
    <row r="200" spans="1:7" ht="12.75">
      <c r="A200" s="21"/>
      <c r="B200" s="27">
        <v>4110</v>
      </c>
      <c r="C200" s="18" t="s">
        <v>39</v>
      </c>
      <c r="D200" s="22"/>
      <c r="E200" s="15">
        <v>-8075</v>
      </c>
      <c r="G200">
        <f>47500*0.17</f>
        <v>8075.000000000001</v>
      </c>
    </row>
    <row r="201" spans="1:7" ht="12.75">
      <c r="A201" s="21"/>
      <c r="B201" s="27">
        <v>4120</v>
      </c>
      <c r="C201" s="18" t="s">
        <v>40</v>
      </c>
      <c r="D201" s="22"/>
      <c r="E201" s="15">
        <v>-1463</v>
      </c>
      <c r="G201">
        <f>51342*0.0285</f>
        <v>1463.247</v>
      </c>
    </row>
    <row r="202" spans="1:5" ht="12.75">
      <c r="A202" s="21"/>
      <c r="B202" s="27">
        <v>4170</v>
      </c>
      <c r="C202" s="18" t="s">
        <v>42</v>
      </c>
      <c r="D202" s="22"/>
      <c r="E202" s="15"/>
    </row>
    <row r="203" spans="1:5" ht="12.75">
      <c r="A203" s="21"/>
      <c r="B203" s="27">
        <v>4210</v>
      </c>
      <c r="C203" s="18" t="s">
        <v>14</v>
      </c>
      <c r="D203" s="22"/>
      <c r="E203" s="15"/>
    </row>
    <row r="204" spans="1:5" ht="12.75">
      <c r="A204" s="21"/>
      <c r="B204" s="27">
        <v>4240</v>
      </c>
      <c r="C204" s="18" t="s">
        <v>76</v>
      </c>
      <c r="D204" s="22"/>
      <c r="E204" s="15">
        <v>10000</v>
      </c>
    </row>
    <row r="205" spans="1:5" ht="12.75">
      <c r="A205" s="21"/>
      <c r="B205" s="27">
        <v>4260</v>
      </c>
      <c r="C205" s="18" t="s">
        <v>43</v>
      </c>
      <c r="D205" s="22"/>
      <c r="E205" s="15"/>
    </row>
    <row r="206" spans="1:5" ht="12.75">
      <c r="A206" s="21"/>
      <c r="B206" s="27">
        <v>4270</v>
      </c>
      <c r="C206" s="18" t="s">
        <v>24</v>
      </c>
      <c r="D206" s="22"/>
      <c r="E206" s="15"/>
    </row>
    <row r="207" spans="1:5" ht="12.75">
      <c r="A207" s="21"/>
      <c r="B207" s="27">
        <v>4280</v>
      </c>
      <c r="C207" s="18" t="s">
        <v>44</v>
      </c>
      <c r="D207" s="22"/>
      <c r="E207" s="15"/>
    </row>
    <row r="208" spans="1:5" ht="12.75">
      <c r="A208" s="21"/>
      <c r="B208" s="27">
        <v>4300</v>
      </c>
      <c r="C208" s="18" t="s">
        <v>15</v>
      </c>
      <c r="D208" s="22"/>
      <c r="E208" s="15"/>
    </row>
    <row r="209" spans="1:5" ht="12.75">
      <c r="A209" s="21"/>
      <c r="B209" s="27">
        <v>4350</v>
      </c>
      <c r="C209" s="18" t="s">
        <v>45</v>
      </c>
      <c r="D209" s="22"/>
      <c r="E209" s="15"/>
    </row>
    <row r="210" spans="1:5" ht="25.5">
      <c r="A210" s="21"/>
      <c r="B210" s="27">
        <v>4360</v>
      </c>
      <c r="C210" s="18" t="s">
        <v>46</v>
      </c>
      <c r="D210" s="22"/>
      <c r="E210" s="15"/>
    </row>
    <row r="211" spans="1:5" ht="25.5">
      <c r="A211" s="21"/>
      <c r="B211" s="27">
        <v>4370</v>
      </c>
      <c r="C211" s="18" t="s">
        <v>47</v>
      </c>
      <c r="D211" s="22"/>
      <c r="E211" s="15"/>
    </row>
    <row r="212" spans="1:5" ht="12.75">
      <c r="A212" s="21"/>
      <c r="B212" s="27">
        <v>4410</v>
      </c>
      <c r="C212" s="18" t="s">
        <v>48</v>
      </c>
      <c r="D212" s="22"/>
      <c r="E212" s="15"/>
    </row>
    <row r="213" spans="1:5" ht="12.75">
      <c r="A213" s="21"/>
      <c r="B213" s="27">
        <v>4430</v>
      </c>
      <c r="C213" s="18" t="s">
        <v>16</v>
      </c>
      <c r="D213" s="22"/>
      <c r="E213" s="15"/>
    </row>
    <row r="214" spans="1:5" ht="25.5">
      <c r="A214" s="21"/>
      <c r="B214" s="27">
        <v>4440</v>
      </c>
      <c r="C214" s="18" t="s">
        <v>50</v>
      </c>
      <c r="D214" s="22"/>
      <c r="E214" s="15"/>
    </row>
    <row r="215" spans="1:5" ht="25.5">
      <c r="A215" s="21"/>
      <c r="B215" s="27">
        <v>4740</v>
      </c>
      <c r="C215" s="18" t="s">
        <v>52</v>
      </c>
      <c r="D215" s="22"/>
      <c r="E215" s="15"/>
    </row>
    <row r="216" spans="1:5" ht="25.5">
      <c r="A216" s="21"/>
      <c r="B216" s="27">
        <v>4750</v>
      </c>
      <c r="C216" s="18" t="s">
        <v>53</v>
      </c>
      <c r="D216" s="22"/>
      <c r="E216" s="15"/>
    </row>
    <row r="217" spans="1:5" ht="25.5">
      <c r="A217" s="21"/>
      <c r="B217" s="27">
        <v>6060</v>
      </c>
      <c r="C217" s="18" t="s">
        <v>61</v>
      </c>
      <c r="D217" s="22"/>
      <c r="E217" s="15"/>
    </row>
    <row r="218" spans="1:5" ht="12.75">
      <c r="A218" s="31">
        <v>80113</v>
      </c>
      <c r="B218" s="26"/>
      <c r="C218" s="19" t="s">
        <v>81</v>
      </c>
      <c r="D218" s="20">
        <f>SUM(D219:D231)</f>
        <v>0</v>
      </c>
      <c r="E218" s="15"/>
    </row>
    <row r="219" spans="1:5" ht="25.5">
      <c r="A219" s="31"/>
      <c r="B219" s="27">
        <v>3020</v>
      </c>
      <c r="C219" s="18" t="s">
        <v>73</v>
      </c>
      <c r="D219" s="22"/>
      <c r="E219" s="15"/>
    </row>
    <row r="220" spans="1:5" ht="12.75">
      <c r="A220" s="21"/>
      <c r="B220" s="27">
        <v>4010</v>
      </c>
      <c r="C220" s="18" t="s">
        <v>37</v>
      </c>
      <c r="D220" s="22"/>
      <c r="E220" s="15"/>
    </row>
    <row r="221" spans="1:5" ht="12.75">
      <c r="A221" s="21"/>
      <c r="B221" s="27">
        <v>4040</v>
      </c>
      <c r="C221" s="18" t="s">
        <v>38</v>
      </c>
      <c r="D221" s="22"/>
      <c r="E221" s="15"/>
    </row>
    <row r="222" spans="1:5" ht="12.75">
      <c r="A222" s="21"/>
      <c r="B222" s="27">
        <v>4110</v>
      </c>
      <c r="C222" s="18" t="s">
        <v>39</v>
      </c>
      <c r="D222" s="22"/>
      <c r="E222" s="15"/>
    </row>
    <row r="223" spans="1:5" ht="12.75">
      <c r="A223" s="21"/>
      <c r="B223" s="27">
        <v>4120</v>
      </c>
      <c r="C223" s="18" t="s">
        <v>40</v>
      </c>
      <c r="D223" s="22"/>
      <c r="E223" s="15"/>
    </row>
    <row r="224" spans="1:5" ht="12.75">
      <c r="A224" s="21"/>
      <c r="B224" s="27">
        <v>4210</v>
      </c>
      <c r="C224" s="18" t="s">
        <v>14</v>
      </c>
      <c r="D224" s="22"/>
      <c r="E224" s="15"/>
    </row>
    <row r="225" spans="1:5" ht="12.75">
      <c r="A225" s="21"/>
      <c r="B225" s="27">
        <v>4270</v>
      </c>
      <c r="C225" s="18" t="s">
        <v>24</v>
      </c>
      <c r="D225" s="22"/>
      <c r="E225" s="15"/>
    </row>
    <row r="226" spans="1:5" ht="12.75">
      <c r="A226" s="21"/>
      <c r="B226" s="27">
        <v>4280</v>
      </c>
      <c r="C226" s="18" t="s">
        <v>44</v>
      </c>
      <c r="D226" s="22"/>
      <c r="E226" s="15"/>
    </row>
    <row r="227" spans="1:5" ht="12.75">
      <c r="A227" s="21"/>
      <c r="B227" s="27">
        <v>4300</v>
      </c>
      <c r="C227" s="18" t="s">
        <v>15</v>
      </c>
      <c r="D227" s="22"/>
      <c r="E227" s="15">
        <v>-55000</v>
      </c>
    </row>
    <row r="228" spans="1:5" ht="25.5">
      <c r="A228" s="21"/>
      <c r="B228" s="27">
        <v>4360</v>
      </c>
      <c r="C228" s="18" t="s">
        <v>46</v>
      </c>
      <c r="D228" s="22"/>
      <c r="E228" s="15"/>
    </row>
    <row r="229" spans="1:5" ht="12.75">
      <c r="A229" s="21"/>
      <c r="B229" s="27">
        <v>4410</v>
      </c>
      <c r="C229" s="27" t="s">
        <v>48</v>
      </c>
      <c r="D229" s="22"/>
      <c r="E229" s="15"/>
    </row>
    <row r="230" spans="1:5" ht="12.75">
      <c r="A230" s="21"/>
      <c r="B230" s="27">
        <v>4430</v>
      </c>
      <c r="C230" s="18" t="s">
        <v>16</v>
      </c>
      <c r="D230" s="22"/>
      <c r="E230" s="15"/>
    </row>
    <row r="231" spans="1:5" ht="25.5">
      <c r="A231" s="21"/>
      <c r="B231" s="27">
        <v>4440</v>
      </c>
      <c r="C231" s="18" t="s">
        <v>50</v>
      </c>
      <c r="D231" s="22"/>
      <c r="E231" s="15"/>
    </row>
    <row r="232" spans="1:5" ht="25.5">
      <c r="A232" s="31">
        <v>80114</v>
      </c>
      <c r="B232" s="26"/>
      <c r="C232" s="19" t="s">
        <v>82</v>
      </c>
      <c r="D232" s="20">
        <f>SUM(D233:D251)</f>
        <v>0</v>
      </c>
      <c r="E232" s="15"/>
    </row>
    <row r="233" spans="1:5" ht="25.5">
      <c r="A233" s="31"/>
      <c r="B233" s="27">
        <v>3020</v>
      </c>
      <c r="C233" s="18" t="s">
        <v>73</v>
      </c>
      <c r="D233" s="22"/>
      <c r="E233" s="15"/>
    </row>
    <row r="234" spans="1:5" ht="12.75">
      <c r="A234" s="21"/>
      <c r="B234" s="27">
        <v>4010</v>
      </c>
      <c r="C234" s="18" t="s">
        <v>37</v>
      </c>
      <c r="D234" s="22"/>
      <c r="E234" s="15"/>
    </row>
    <row r="235" spans="1:5" ht="12.75">
      <c r="A235" s="21"/>
      <c r="B235" s="27">
        <v>4040</v>
      </c>
      <c r="C235" s="18" t="s">
        <v>38</v>
      </c>
      <c r="D235" s="22"/>
      <c r="E235" s="15"/>
    </row>
    <row r="236" spans="1:5" ht="12.75">
      <c r="A236" s="21"/>
      <c r="B236" s="27">
        <v>4110</v>
      </c>
      <c r="C236" s="18" t="s">
        <v>39</v>
      </c>
      <c r="D236" s="22"/>
      <c r="E236" s="15"/>
    </row>
    <row r="237" spans="1:5" ht="12.75">
      <c r="A237" s="21"/>
      <c r="B237" s="27">
        <v>4120</v>
      </c>
      <c r="C237" s="18" t="s">
        <v>40</v>
      </c>
      <c r="D237" s="22"/>
      <c r="E237" s="15"/>
    </row>
    <row r="238" spans="1:5" ht="12.75">
      <c r="A238" s="21"/>
      <c r="B238" s="27">
        <v>4170</v>
      </c>
      <c r="C238" s="18" t="s">
        <v>42</v>
      </c>
      <c r="D238" s="22"/>
      <c r="E238" s="15"/>
    </row>
    <row r="239" spans="1:5" ht="12.75">
      <c r="A239" s="21"/>
      <c r="B239" s="27">
        <v>4210</v>
      </c>
      <c r="C239" s="18" t="s">
        <v>14</v>
      </c>
      <c r="D239" s="22"/>
      <c r="E239" s="15"/>
    </row>
    <row r="240" spans="1:5" ht="12.75">
      <c r="A240" s="21"/>
      <c r="B240" s="27">
        <v>4260</v>
      </c>
      <c r="C240" s="18" t="s">
        <v>43</v>
      </c>
      <c r="D240" s="22"/>
      <c r="E240" s="15"/>
    </row>
    <row r="241" spans="1:5" ht="12.75">
      <c r="A241" s="21"/>
      <c r="B241" s="27">
        <v>4270</v>
      </c>
      <c r="C241" s="18" t="s">
        <v>24</v>
      </c>
      <c r="D241" s="22"/>
      <c r="E241" s="15"/>
    </row>
    <row r="242" spans="1:5" ht="12.75">
      <c r="A242" s="21"/>
      <c r="B242" s="27">
        <v>4280</v>
      </c>
      <c r="C242" s="18" t="s">
        <v>44</v>
      </c>
      <c r="D242" s="22"/>
      <c r="E242" s="15"/>
    </row>
    <row r="243" spans="1:5" ht="12.75">
      <c r="A243" s="21"/>
      <c r="B243" s="27">
        <v>4300</v>
      </c>
      <c r="C243" s="18" t="s">
        <v>15</v>
      </c>
      <c r="D243" s="22"/>
      <c r="E243" s="15"/>
    </row>
    <row r="244" spans="1:5" ht="12.75">
      <c r="A244" s="21"/>
      <c r="B244" s="27">
        <v>4350</v>
      </c>
      <c r="C244" s="18" t="s">
        <v>45</v>
      </c>
      <c r="D244" s="22"/>
      <c r="E244" s="15"/>
    </row>
    <row r="245" spans="1:5" ht="25.5">
      <c r="A245" s="21"/>
      <c r="B245" s="27">
        <v>4370</v>
      </c>
      <c r="C245" s="18" t="s">
        <v>47</v>
      </c>
      <c r="D245" s="22"/>
      <c r="E245" s="15"/>
    </row>
    <row r="246" spans="1:5" ht="12.75">
      <c r="A246" s="21"/>
      <c r="B246" s="27">
        <v>4410</v>
      </c>
      <c r="C246" s="18" t="s">
        <v>48</v>
      </c>
      <c r="D246" s="22"/>
      <c r="E246" s="15"/>
    </row>
    <row r="247" spans="1:5" ht="12.75">
      <c r="A247" s="21"/>
      <c r="B247" s="27">
        <v>4430</v>
      </c>
      <c r="C247" s="18" t="s">
        <v>16</v>
      </c>
      <c r="D247" s="22"/>
      <c r="E247" s="15"/>
    </row>
    <row r="248" spans="1:5" ht="25.5">
      <c r="A248" s="21"/>
      <c r="B248" s="27">
        <v>4440</v>
      </c>
      <c r="C248" s="18" t="s">
        <v>50</v>
      </c>
      <c r="D248" s="22"/>
      <c r="E248" s="15"/>
    </row>
    <row r="249" spans="1:5" ht="25.5">
      <c r="A249" s="21"/>
      <c r="B249" s="27">
        <v>4740</v>
      </c>
      <c r="C249" s="18" t="s">
        <v>52</v>
      </c>
      <c r="D249" s="22"/>
      <c r="E249" s="15"/>
    </row>
    <row r="250" spans="1:5" ht="25.5">
      <c r="A250" s="21"/>
      <c r="B250" s="27">
        <v>4750</v>
      </c>
      <c r="C250" s="18" t="s">
        <v>53</v>
      </c>
      <c r="D250" s="22"/>
      <c r="E250" s="15"/>
    </row>
    <row r="251" spans="1:5" ht="25.5">
      <c r="A251" s="21"/>
      <c r="B251" s="27">
        <v>6060</v>
      </c>
      <c r="C251" s="18" t="s">
        <v>61</v>
      </c>
      <c r="D251" s="22"/>
      <c r="E251" s="15"/>
    </row>
    <row r="252" spans="1:5" ht="12.75">
      <c r="A252" s="31">
        <v>80146</v>
      </c>
      <c r="B252" s="26"/>
      <c r="C252" s="19" t="s">
        <v>83</v>
      </c>
      <c r="D252" s="20">
        <f>SUM(D253:D255)</f>
        <v>0</v>
      </c>
      <c r="E252" s="15"/>
    </row>
    <row r="253" spans="1:5" ht="12.75">
      <c r="A253" s="21"/>
      <c r="B253" s="27">
        <v>4210</v>
      </c>
      <c r="C253" s="18" t="s">
        <v>14</v>
      </c>
      <c r="D253" s="22"/>
      <c r="E253" s="15"/>
    </row>
    <row r="254" spans="1:5" ht="12.75">
      <c r="A254" s="21"/>
      <c r="B254" s="27">
        <v>4300</v>
      </c>
      <c r="C254" s="18" t="s">
        <v>15</v>
      </c>
      <c r="D254" s="22"/>
      <c r="E254" s="15"/>
    </row>
    <row r="255" spans="1:5" ht="12.75">
      <c r="A255" s="21"/>
      <c r="B255" s="27">
        <v>4410</v>
      </c>
      <c r="C255" s="18" t="s">
        <v>48</v>
      </c>
      <c r="D255" s="22"/>
      <c r="E255" s="15"/>
    </row>
    <row r="256" spans="1:5" ht="12.75">
      <c r="A256" s="31">
        <v>80148</v>
      </c>
      <c r="B256" s="26"/>
      <c r="C256" s="19" t="s">
        <v>84</v>
      </c>
      <c r="D256" s="20">
        <f>SUM(D257:D271)</f>
        <v>0</v>
      </c>
      <c r="E256" s="15"/>
    </row>
    <row r="257" spans="1:5" ht="25.5">
      <c r="A257" s="31"/>
      <c r="B257" s="27">
        <v>3020</v>
      </c>
      <c r="C257" s="18" t="s">
        <v>73</v>
      </c>
      <c r="D257" s="22"/>
      <c r="E257" s="15"/>
    </row>
    <row r="258" spans="1:5" ht="12.75">
      <c r="A258" s="31"/>
      <c r="B258" s="27">
        <v>4010</v>
      </c>
      <c r="C258" s="18" t="s">
        <v>37</v>
      </c>
      <c r="D258" s="22"/>
      <c r="E258" s="15"/>
    </row>
    <row r="259" spans="1:5" ht="12.75">
      <c r="A259" s="31"/>
      <c r="B259" s="27">
        <v>4040</v>
      </c>
      <c r="C259" s="18" t="s">
        <v>38</v>
      </c>
      <c r="D259" s="22"/>
      <c r="E259" s="15"/>
    </row>
    <row r="260" spans="1:5" ht="12.75">
      <c r="A260" s="31"/>
      <c r="B260" s="27">
        <v>4110</v>
      </c>
      <c r="C260" s="18" t="s">
        <v>39</v>
      </c>
      <c r="D260" s="22"/>
      <c r="E260" s="15"/>
    </row>
    <row r="261" spans="1:5" ht="12.75">
      <c r="A261" s="31"/>
      <c r="B261" s="27">
        <v>4120</v>
      </c>
      <c r="C261" s="18" t="s">
        <v>40</v>
      </c>
      <c r="D261" s="22"/>
      <c r="E261" s="15"/>
    </row>
    <row r="262" spans="1:5" ht="12.75">
      <c r="A262" s="31"/>
      <c r="B262" s="27">
        <v>4210</v>
      </c>
      <c r="C262" s="18" t="s">
        <v>14</v>
      </c>
      <c r="D262" s="22"/>
      <c r="E262" s="15"/>
    </row>
    <row r="263" spans="1:5" ht="12.75">
      <c r="A263" s="31"/>
      <c r="B263" s="27">
        <v>4220</v>
      </c>
      <c r="C263" s="18" t="s">
        <v>78</v>
      </c>
      <c r="D263" s="22"/>
      <c r="E263" s="15"/>
    </row>
    <row r="264" spans="1:5" ht="12.75">
      <c r="A264" s="31"/>
      <c r="B264" s="27">
        <v>4270</v>
      </c>
      <c r="C264" s="18" t="s">
        <v>24</v>
      </c>
      <c r="D264" s="22"/>
      <c r="E264" s="15"/>
    </row>
    <row r="265" spans="1:5" ht="12.75">
      <c r="A265" s="31"/>
      <c r="B265" s="27">
        <v>4280</v>
      </c>
      <c r="C265" s="18" t="s">
        <v>44</v>
      </c>
      <c r="D265" s="22"/>
      <c r="E265" s="15"/>
    </row>
    <row r="266" spans="1:5" ht="12.75">
      <c r="A266" s="31"/>
      <c r="B266" s="27">
        <v>4300</v>
      </c>
      <c r="C266" s="18" t="s">
        <v>15</v>
      </c>
      <c r="D266" s="22"/>
      <c r="E266" s="15"/>
    </row>
    <row r="267" spans="1:5" ht="12.75">
      <c r="A267" s="31"/>
      <c r="B267" s="27">
        <v>4410</v>
      </c>
      <c r="C267" s="18" t="s">
        <v>48</v>
      </c>
      <c r="D267" s="22"/>
      <c r="E267" s="15"/>
    </row>
    <row r="268" spans="1:5" ht="12.75">
      <c r="A268" s="31"/>
      <c r="B268" s="27">
        <v>4430</v>
      </c>
      <c r="C268" s="18" t="s">
        <v>16</v>
      </c>
      <c r="D268" s="22"/>
      <c r="E268" s="15"/>
    </row>
    <row r="269" spans="1:5" ht="25.5">
      <c r="A269" s="31"/>
      <c r="B269" s="27">
        <v>4440</v>
      </c>
      <c r="C269" s="18" t="s">
        <v>50</v>
      </c>
      <c r="D269" s="22"/>
      <c r="E269" s="15"/>
    </row>
    <row r="270" spans="1:5" ht="25.5">
      <c r="A270" s="31"/>
      <c r="B270" s="27">
        <v>4740</v>
      </c>
      <c r="C270" s="18" t="s">
        <v>52</v>
      </c>
      <c r="D270" s="22"/>
      <c r="E270" s="15"/>
    </row>
    <row r="271" spans="1:5" ht="25.5">
      <c r="A271" s="31"/>
      <c r="B271" s="27">
        <v>4750</v>
      </c>
      <c r="C271" s="18" t="s">
        <v>53</v>
      </c>
      <c r="D271" s="22"/>
      <c r="E271" s="15"/>
    </row>
    <row r="272" spans="1:5" ht="12.75">
      <c r="A272" s="31">
        <v>80195</v>
      </c>
      <c r="B272" s="26"/>
      <c r="C272" s="19" t="s">
        <v>13</v>
      </c>
      <c r="D272" s="20">
        <f>SUM(D273:D274)</f>
        <v>0</v>
      </c>
      <c r="E272" s="15"/>
    </row>
    <row r="273" spans="1:5" ht="12.75">
      <c r="A273" s="31"/>
      <c r="B273" s="27">
        <v>4300</v>
      </c>
      <c r="C273" s="27" t="s">
        <v>15</v>
      </c>
      <c r="D273" s="22"/>
      <c r="E273" s="15"/>
    </row>
    <row r="274" spans="1:5" ht="26.25" thickBot="1">
      <c r="A274" s="66"/>
      <c r="B274" s="56">
        <v>4440</v>
      </c>
      <c r="C274" s="57" t="s">
        <v>50</v>
      </c>
      <c r="D274" s="58"/>
      <c r="E274" s="15"/>
    </row>
    <row r="275" spans="1:5" ht="13.5" thickBot="1">
      <c r="A275" s="62">
        <v>851</v>
      </c>
      <c r="B275" s="63"/>
      <c r="C275" s="64" t="s">
        <v>85</v>
      </c>
      <c r="D275" s="65">
        <f>SUM(D276,D279)</f>
        <v>0</v>
      </c>
      <c r="E275" s="15"/>
    </row>
    <row r="276" spans="1:5" ht="12.75">
      <c r="A276" s="59">
        <v>85153</v>
      </c>
      <c r="B276" s="60"/>
      <c r="C276" s="60" t="s">
        <v>86</v>
      </c>
      <c r="D276" s="28">
        <f>SUM(D277:D278)</f>
        <v>0</v>
      </c>
      <c r="E276" s="15"/>
    </row>
    <row r="277" spans="1:5" ht="12.75">
      <c r="A277" s="21"/>
      <c r="B277" s="27">
        <v>4210</v>
      </c>
      <c r="C277" s="27" t="s">
        <v>14</v>
      </c>
      <c r="D277" s="22"/>
      <c r="E277" s="15"/>
    </row>
    <row r="278" spans="1:5" ht="12.75">
      <c r="A278" s="21"/>
      <c r="B278" s="27">
        <v>4300</v>
      </c>
      <c r="C278" s="27" t="s">
        <v>15</v>
      </c>
      <c r="D278" s="22"/>
      <c r="E278" s="15"/>
    </row>
    <row r="279" spans="1:5" ht="12.75">
      <c r="A279" s="31">
        <v>85154</v>
      </c>
      <c r="B279" s="26"/>
      <c r="C279" s="19" t="s">
        <v>87</v>
      </c>
      <c r="D279" s="20">
        <f>SUM(D280:D290)</f>
        <v>0</v>
      </c>
      <c r="E279" s="15"/>
    </row>
    <row r="280" spans="1:5" ht="38.25">
      <c r="A280" s="31"/>
      <c r="B280" s="27">
        <v>2710</v>
      </c>
      <c r="C280" s="18" t="s">
        <v>22</v>
      </c>
      <c r="D280" s="22"/>
      <c r="E280" s="15">
        <v>-4000</v>
      </c>
    </row>
    <row r="281" spans="1:5" ht="38.25">
      <c r="A281" s="31"/>
      <c r="B281" s="27">
        <v>2820</v>
      </c>
      <c r="C281" s="18" t="s">
        <v>59</v>
      </c>
      <c r="D281" s="22"/>
      <c r="E281" s="15">
        <v>4000</v>
      </c>
    </row>
    <row r="282" spans="1:5" ht="12.75">
      <c r="A282" s="31"/>
      <c r="B282" s="27">
        <v>4110</v>
      </c>
      <c r="C282" s="18" t="s">
        <v>39</v>
      </c>
      <c r="D282" s="22"/>
      <c r="E282" s="15"/>
    </row>
    <row r="283" spans="1:5" ht="12.75">
      <c r="A283" s="31"/>
      <c r="B283" s="27">
        <v>4120</v>
      </c>
      <c r="C283" s="18" t="s">
        <v>40</v>
      </c>
      <c r="D283" s="22"/>
      <c r="E283" s="15"/>
    </row>
    <row r="284" spans="1:5" ht="12.75">
      <c r="A284" s="31"/>
      <c r="B284" s="27">
        <v>4170</v>
      </c>
      <c r="C284" s="18" t="s">
        <v>42</v>
      </c>
      <c r="D284" s="22"/>
      <c r="E284" s="15"/>
    </row>
    <row r="285" spans="1:5" ht="12.75">
      <c r="A285" s="31"/>
      <c r="B285" s="27">
        <v>4210</v>
      </c>
      <c r="C285" s="18" t="s">
        <v>14</v>
      </c>
      <c r="D285" s="22"/>
      <c r="E285" s="15"/>
    </row>
    <row r="286" spans="1:5" ht="12.75">
      <c r="A286" s="31"/>
      <c r="B286" s="27">
        <v>4260</v>
      </c>
      <c r="C286" s="18" t="s">
        <v>43</v>
      </c>
      <c r="D286" s="22"/>
      <c r="E286" s="15"/>
    </row>
    <row r="287" spans="1:5" ht="12.75">
      <c r="A287" s="31"/>
      <c r="B287" s="27">
        <v>4300</v>
      </c>
      <c r="C287" s="18" t="s">
        <v>15</v>
      </c>
      <c r="D287" s="22"/>
      <c r="E287" s="15"/>
    </row>
    <row r="288" spans="1:5" ht="25.5">
      <c r="A288" s="31"/>
      <c r="B288" s="27">
        <v>4370</v>
      </c>
      <c r="C288" s="18" t="s">
        <v>47</v>
      </c>
      <c r="D288" s="22"/>
      <c r="E288" s="15"/>
    </row>
    <row r="289" spans="1:5" ht="12.75">
      <c r="A289" s="31"/>
      <c r="B289" s="27">
        <v>4410</v>
      </c>
      <c r="C289" s="18" t="s">
        <v>48</v>
      </c>
      <c r="D289" s="22"/>
      <c r="E289" s="15"/>
    </row>
    <row r="290" spans="1:5" ht="26.25" thickBot="1">
      <c r="A290" s="67"/>
      <c r="B290" s="56">
        <v>4740</v>
      </c>
      <c r="C290" s="57" t="s">
        <v>52</v>
      </c>
      <c r="D290" s="58"/>
      <c r="E290" s="15"/>
    </row>
    <row r="291" spans="1:5" ht="13.5" thickBot="1">
      <c r="A291" s="62">
        <v>852</v>
      </c>
      <c r="B291" s="63"/>
      <c r="C291" s="64" t="s">
        <v>88</v>
      </c>
      <c r="D291" s="65">
        <f>SUM(D292,D294,D296,D298,D317)</f>
        <v>0</v>
      </c>
      <c r="E291" s="15"/>
    </row>
    <row r="292" spans="1:5" ht="12.75">
      <c r="A292" s="59">
        <v>85202</v>
      </c>
      <c r="B292" s="60"/>
      <c r="C292" s="61" t="s">
        <v>89</v>
      </c>
      <c r="D292" s="28">
        <f>SUM(D293)</f>
        <v>0</v>
      </c>
      <c r="E292" s="15"/>
    </row>
    <row r="293" spans="1:6" ht="38.25">
      <c r="A293" s="31"/>
      <c r="B293" s="27">
        <v>4330</v>
      </c>
      <c r="C293" s="18" t="s">
        <v>122</v>
      </c>
      <c r="D293" s="22"/>
      <c r="E293" s="77"/>
      <c r="F293" s="16"/>
    </row>
    <row r="294" spans="1:6" ht="25.5">
      <c r="A294" s="31">
        <v>85214</v>
      </c>
      <c r="B294" s="26"/>
      <c r="C294" s="19" t="s">
        <v>90</v>
      </c>
      <c r="D294" s="20">
        <f>SUM(D295:D295)</f>
        <v>0</v>
      </c>
      <c r="E294" s="78"/>
      <c r="F294" s="17"/>
    </row>
    <row r="295" spans="1:6" ht="12.75">
      <c r="A295" s="21"/>
      <c r="B295" s="27">
        <v>3110</v>
      </c>
      <c r="C295" s="18" t="s">
        <v>91</v>
      </c>
      <c r="D295" s="22"/>
      <c r="E295" s="77"/>
      <c r="F295" s="16"/>
    </row>
    <row r="296" spans="1:6" ht="12.75">
      <c r="A296" s="31">
        <v>85215</v>
      </c>
      <c r="B296" s="26"/>
      <c r="C296" s="19" t="s">
        <v>92</v>
      </c>
      <c r="D296" s="20">
        <f>SUM(D297)</f>
        <v>0</v>
      </c>
      <c r="E296" s="77"/>
      <c r="F296" s="16"/>
    </row>
    <row r="297" spans="1:6" ht="12.75">
      <c r="A297" s="21"/>
      <c r="B297" s="27">
        <v>3110</v>
      </c>
      <c r="C297" s="18" t="s">
        <v>91</v>
      </c>
      <c r="D297" s="22"/>
      <c r="E297" s="78"/>
      <c r="F297" s="17"/>
    </row>
    <row r="298" spans="1:6" ht="12.75">
      <c r="A298" s="31">
        <v>85219</v>
      </c>
      <c r="B298" s="26"/>
      <c r="C298" s="19" t="s">
        <v>93</v>
      </c>
      <c r="D298" s="20">
        <f>SUM(D299:D316)</f>
        <v>0</v>
      </c>
      <c r="E298" s="77"/>
      <c r="F298" s="16"/>
    </row>
    <row r="299" spans="1:6" ht="25.5">
      <c r="A299" s="21"/>
      <c r="B299" s="27">
        <v>3020</v>
      </c>
      <c r="C299" s="18" t="s">
        <v>73</v>
      </c>
      <c r="D299" s="22"/>
      <c r="E299" s="78"/>
      <c r="F299" s="17"/>
    </row>
    <row r="300" spans="1:6" ht="12.75">
      <c r="A300" s="21"/>
      <c r="B300" s="27">
        <v>4010</v>
      </c>
      <c r="C300" s="18" t="s">
        <v>37</v>
      </c>
      <c r="D300" s="22"/>
      <c r="E300" s="77"/>
      <c r="F300" s="16"/>
    </row>
    <row r="301" spans="1:6" ht="12.75">
      <c r="A301" s="21"/>
      <c r="B301" s="27">
        <v>4040</v>
      </c>
      <c r="C301" s="18" t="s">
        <v>38</v>
      </c>
      <c r="D301" s="22"/>
      <c r="E301" s="77"/>
      <c r="F301" s="16"/>
    </row>
    <row r="302" spans="1:6" ht="12.75">
      <c r="A302" s="21"/>
      <c r="B302" s="27">
        <v>4110</v>
      </c>
      <c r="C302" s="18" t="s">
        <v>39</v>
      </c>
      <c r="D302" s="22"/>
      <c r="E302" s="77"/>
      <c r="F302" s="16"/>
    </row>
    <row r="303" spans="1:6" ht="12.75">
      <c r="A303" s="21"/>
      <c r="B303" s="27">
        <v>4120</v>
      </c>
      <c r="C303" s="18" t="s">
        <v>40</v>
      </c>
      <c r="D303" s="22"/>
      <c r="E303" s="77"/>
      <c r="F303" s="16"/>
    </row>
    <row r="304" spans="1:6" ht="12.75">
      <c r="A304" s="21"/>
      <c r="B304" s="27">
        <v>4170</v>
      </c>
      <c r="C304" s="18" t="s">
        <v>42</v>
      </c>
      <c r="D304" s="22"/>
      <c r="E304" s="77"/>
      <c r="F304" s="16"/>
    </row>
    <row r="305" spans="1:6" ht="12.75">
      <c r="A305" s="21"/>
      <c r="B305" s="27">
        <v>4210</v>
      </c>
      <c r="C305" s="18" t="s">
        <v>14</v>
      </c>
      <c r="D305" s="22"/>
      <c r="E305" s="78"/>
      <c r="F305" s="17"/>
    </row>
    <row r="306" spans="1:6" ht="12.75">
      <c r="A306" s="21"/>
      <c r="B306" s="27">
        <v>4260</v>
      </c>
      <c r="C306" s="18" t="s">
        <v>43</v>
      </c>
      <c r="D306" s="22"/>
      <c r="E306" s="77"/>
      <c r="F306" s="16"/>
    </row>
    <row r="307" spans="1:6" ht="12.75">
      <c r="A307" s="21"/>
      <c r="B307" s="27">
        <v>4270</v>
      </c>
      <c r="C307" s="18" t="s">
        <v>24</v>
      </c>
      <c r="D307" s="22"/>
      <c r="E307" s="77"/>
      <c r="F307" s="16"/>
    </row>
    <row r="308" spans="1:6" ht="12.75">
      <c r="A308" s="21"/>
      <c r="B308" s="27">
        <v>4280</v>
      </c>
      <c r="C308" s="18" t="s">
        <v>44</v>
      </c>
      <c r="D308" s="22"/>
      <c r="E308" s="77"/>
      <c r="F308" s="16"/>
    </row>
    <row r="309" spans="1:6" ht="12.75">
      <c r="A309" s="21"/>
      <c r="B309" s="27">
        <v>4300</v>
      </c>
      <c r="C309" s="18" t="s">
        <v>15</v>
      </c>
      <c r="D309" s="22"/>
      <c r="E309" s="77"/>
      <c r="F309" s="16"/>
    </row>
    <row r="310" spans="1:6" ht="12.75">
      <c r="A310" s="21"/>
      <c r="B310" s="27">
        <v>4350</v>
      </c>
      <c r="C310" s="18" t="s">
        <v>45</v>
      </c>
      <c r="D310" s="22"/>
      <c r="E310" s="77"/>
      <c r="F310" s="16"/>
    </row>
    <row r="311" spans="1:5" ht="25.5">
      <c r="A311" s="21"/>
      <c r="B311" s="27">
        <v>4370</v>
      </c>
      <c r="C311" s="18" t="s">
        <v>47</v>
      </c>
      <c r="D311" s="22"/>
      <c r="E311" s="15"/>
    </row>
    <row r="312" spans="1:5" ht="12.75">
      <c r="A312" s="21"/>
      <c r="B312" s="27">
        <v>4410</v>
      </c>
      <c r="C312" s="18" t="s">
        <v>48</v>
      </c>
      <c r="D312" s="22"/>
      <c r="E312" s="15"/>
    </row>
    <row r="313" spans="1:5" ht="25.5">
      <c r="A313" s="21"/>
      <c r="B313" s="27">
        <v>4440</v>
      </c>
      <c r="C313" s="18" t="s">
        <v>50</v>
      </c>
      <c r="D313" s="22"/>
      <c r="E313" s="15"/>
    </row>
    <row r="314" spans="1:5" ht="25.5">
      <c r="A314" s="21"/>
      <c r="B314" s="27">
        <v>4700</v>
      </c>
      <c r="C314" s="18" t="s">
        <v>51</v>
      </c>
      <c r="D314" s="22"/>
      <c r="E314" s="15"/>
    </row>
    <row r="315" spans="1:5" ht="25.5">
      <c r="A315" s="21"/>
      <c r="B315" s="27">
        <v>4740</v>
      </c>
      <c r="C315" s="18" t="s">
        <v>52</v>
      </c>
      <c r="D315" s="22"/>
      <c r="E315" s="15"/>
    </row>
    <row r="316" spans="1:5" ht="25.5">
      <c r="A316" s="21"/>
      <c r="B316" s="27">
        <v>4750</v>
      </c>
      <c r="C316" s="18" t="s">
        <v>53</v>
      </c>
      <c r="D316" s="22"/>
      <c r="E316" s="15"/>
    </row>
    <row r="317" spans="1:5" ht="12.75">
      <c r="A317" s="31">
        <v>85295</v>
      </c>
      <c r="B317" s="26"/>
      <c r="C317" s="19" t="s">
        <v>13</v>
      </c>
      <c r="D317" s="20">
        <f>SUM(D318:D319)</f>
        <v>0</v>
      </c>
      <c r="E317" s="15"/>
    </row>
    <row r="318" spans="1:7" ht="33.75">
      <c r="A318" s="52"/>
      <c r="B318" s="27">
        <v>2820</v>
      </c>
      <c r="C318" s="44" t="s">
        <v>59</v>
      </c>
      <c r="D318" s="22"/>
      <c r="E318" s="76"/>
      <c r="F318" s="13"/>
      <c r="G318" s="13"/>
    </row>
    <row r="319" spans="1:5" ht="13.5" thickBot="1">
      <c r="A319" s="66"/>
      <c r="B319" s="56">
        <v>3110</v>
      </c>
      <c r="C319" s="57" t="s">
        <v>91</v>
      </c>
      <c r="D319" s="58"/>
      <c r="E319" s="15"/>
    </row>
    <row r="320" spans="1:5" ht="13.5" thickBot="1">
      <c r="A320" s="62">
        <v>854</v>
      </c>
      <c r="B320" s="63"/>
      <c r="C320" s="64" t="s">
        <v>94</v>
      </c>
      <c r="D320" s="65">
        <f>SUM(D321)</f>
        <v>0</v>
      </c>
      <c r="E320" s="15"/>
    </row>
    <row r="321" spans="1:5" ht="12.75">
      <c r="A321" s="59">
        <v>85401</v>
      </c>
      <c r="B321" s="60"/>
      <c r="C321" s="61" t="s">
        <v>95</v>
      </c>
      <c r="D321" s="28">
        <f>SUM(D322:D336)</f>
        <v>0</v>
      </c>
      <c r="E321" s="15"/>
    </row>
    <row r="322" spans="1:5" ht="25.5">
      <c r="A322" s="21"/>
      <c r="B322" s="27">
        <v>3020</v>
      </c>
      <c r="C322" s="18" t="s">
        <v>73</v>
      </c>
      <c r="D322" s="22"/>
      <c r="E322" s="15"/>
    </row>
    <row r="323" spans="1:5" ht="12.75">
      <c r="A323" s="21"/>
      <c r="B323" s="27">
        <v>4010</v>
      </c>
      <c r="C323" s="18" t="s">
        <v>37</v>
      </c>
      <c r="D323" s="22"/>
      <c r="E323" s="15"/>
    </row>
    <row r="324" spans="1:5" ht="12.75">
      <c r="A324" s="21"/>
      <c r="B324" s="27">
        <v>4040</v>
      </c>
      <c r="C324" s="18" t="s">
        <v>38</v>
      </c>
      <c r="D324" s="22"/>
      <c r="E324" s="15"/>
    </row>
    <row r="325" spans="1:5" ht="12.75">
      <c r="A325" s="21"/>
      <c r="B325" s="27">
        <v>4110</v>
      </c>
      <c r="C325" s="18" t="s">
        <v>39</v>
      </c>
      <c r="D325" s="22"/>
      <c r="E325" s="15"/>
    </row>
    <row r="326" spans="1:5" ht="12.75">
      <c r="A326" s="21"/>
      <c r="B326" s="27">
        <v>4120</v>
      </c>
      <c r="C326" s="18" t="s">
        <v>40</v>
      </c>
      <c r="D326" s="22"/>
      <c r="E326" s="15"/>
    </row>
    <row r="327" spans="1:5" ht="12.75">
      <c r="A327" s="21"/>
      <c r="B327" s="27">
        <v>4170</v>
      </c>
      <c r="C327" s="18" t="s">
        <v>42</v>
      </c>
      <c r="D327" s="22"/>
      <c r="E327" s="15"/>
    </row>
    <row r="328" spans="1:5" ht="12.75">
      <c r="A328" s="21"/>
      <c r="B328" s="27">
        <v>4210</v>
      </c>
      <c r="C328" s="18" t="s">
        <v>14</v>
      </c>
      <c r="D328" s="22"/>
      <c r="E328" s="15"/>
    </row>
    <row r="329" spans="1:5" ht="12.75">
      <c r="A329" s="21"/>
      <c r="B329" s="27">
        <v>4240</v>
      </c>
      <c r="C329" s="18" t="s">
        <v>76</v>
      </c>
      <c r="D329" s="22"/>
      <c r="E329" s="15"/>
    </row>
    <row r="330" spans="1:5" ht="12.75">
      <c r="A330" s="21"/>
      <c r="B330" s="27">
        <v>4270</v>
      </c>
      <c r="C330" s="18" t="s">
        <v>24</v>
      </c>
      <c r="D330" s="22"/>
      <c r="E330" s="15"/>
    </row>
    <row r="331" spans="1:5" ht="12.75">
      <c r="A331" s="21"/>
      <c r="B331" s="27">
        <v>4280</v>
      </c>
      <c r="C331" s="18" t="s">
        <v>44</v>
      </c>
      <c r="D331" s="22"/>
      <c r="E331" s="15"/>
    </row>
    <row r="332" spans="1:5" ht="12.75">
      <c r="A332" s="21"/>
      <c r="B332" s="27">
        <v>4300</v>
      </c>
      <c r="C332" s="18" t="s">
        <v>15</v>
      </c>
      <c r="D332" s="22"/>
      <c r="E332" s="15"/>
    </row>
    <row r="333" spans="1:5" ht="12.75">
      <c r="A333" s="21"/>
      <c r="B333" s="27">
        <v>4410</v>
      </c>
      <c r="C333" s="18" t="s">
        <v>48</v>
      </c>
      <c r="D333" s="22"/>
      <c r="E333" s="15"/>
    </row>
    <row r="334" spans="1:5" ht="25.5">
      <c r="A334" s="21"/>
      <c r="B334" s="27">
        <v>4440</v>
      </c>
      <c r="C334" s="18" t="s">
        <v>50</v>
      </c>
      <c r="D334" s="22"/>
      <c r="E334" s="15"/>
    </row>
    <row r="335" spans="1:5" ht="25.5">
      <c r="A335" s="21"/>
      <c r="B335" s="27">
        <v>4740</v>
      </c>
      <c r="C335" s="18" t="s">
        <v>52</v>
      </c>
      <c r="D335" s="22"/>
      <c r="E335" s="15"/>
    </row>
    <row r="336" spans="1:5" ht="26.25" thickBot="1">
      <c r="A336" s="66"/>
      <c r="B336" s="56">
        <v>6060</v>
      </c>
      <c r="C336" s="57" t="s">
        <v>61</v>
      </c>
      <c r="D336" s="58"/>
      <c r="E336" s="15"/>
    </row>
    <row r="337" spans="1:5" ht="26.25" thickBot="1">
      <c r="A337" s="62">
        <v>900</v>
      </c>
      <c r="B337" s="63"/>
      <c r="C337" s="64" t="s">
        <v>96</v>
      </c>
      <c r="D337" s="65">
        <f>SUM(D338,D340,D343,D345,D347,D352,D354)</f>
        <v>335000</v>
      </c>
      <c r="E337" s="15"/>
    </row>
    <row r="338" spans="1:5" ht="12.75">
      <c r="A338" s="59">
        <v>90001</v>
      </c>
      <c r="B338" s="60"/>
      <c r="C338" s="61" t="s">
        <v>125</v>
      </c>
      <c r="D338" s="28">
        <f>D339</f>
        <v>0</v>
      </c>
      <c r="E338" s="15"/>
    </row>
    <row r="339" spans="1:5" ht="12.75">
      <c r="A339" s="31"/>
      <c r="B339" s="27">
        <v>4260</v>
      </c>
      <c r="C339" s="18" t="s">
        <v>43</v>
      </c>
      <c r="D339" s="22"/>
      <c r="E339" s="15"/>
    </row>
    <row r="340" spans="1:5" ht="12.75">
      <c r="A340" s="31">
        <v>90002</v>
      </c>
      <c r="B340" s="26"/>
      <c r="C340" s="19" t="s">
        <v>97</v>
      </c>
      <c r="D340" s="20">
        <f>SUM(D341:D342)</f>
        <v>15000</v>
      </c>
      <c r="E340" s="15"/>
    </row>
    <row r="341" spans="1:5" ht="12.75">
      <c r="A341" s="31"/>
      <c r="B341" s="27">
        <v>4300</v>
      </c>
      <c r="C341" s="18" t="s">
        <v>15</v>
      </c>
      <c r="D341" s="22"/>
      <c r="E341" s="15"/>
    </row>
    <row r="342" spans="1:5" ht="63.75">
      <c r="A342" s="21"/>
      <c r="B342" s="27">
        <v>6659</v>
      </c>
      <c r="C342" s="18" t="s">
        <v>8</v>
      </c>
      <c r="D342" s="22">
        <v>15000</v>
      </c>
      <c r="E342" s="15"/>
    </row>
    <row r="343" spans="1:5" ht="12.75">
      <c r="A343" s="31">
        <v>90003</v>
      </c>
      <c r="B343" s="26"/>
      <c r="C343" s="19" t="s">
        <v>98</v>
      </c>
      <c r="D343" s="20">
        <f>SUM(D344)</f>
        <v>0</v>
      </c>
      <c r="E343" s="15"/>
    </row>
    <row r="344" spans="1:5" ht="12.75">
      <c r="A344" s="21"/>
      <c r="B344" s="27">
        <v>4300</v>
      </c>
      <c r="C344" s="18" t="s">
        <v>15</v>
      </c>
      <c r="D344" s="22"/>
      <c r="E344" s="15"/>
    </row>
    <row r="345" spans="1:5" ht="12.75">
      <c r="A345" s="31">
        <v>90004</v>
      </c>
      <c r="B345" s="26"/>
      <c r="C345" s="19" t="s">
        <v>99</v>
      </c>
      <c r="D345" s="20">
        <f>SUM(D346:D346)</f>
        <v>0</v>
      </c>
      <c r="E345" s="15"/>
    </row>
    <row r="346" spans="1:5" ht="12.75">
      <c r="A346" s="21"/>
      <c r="B346" s="27">
        <v>4300</v>
      </c>
      <c r="C346" s="18" t="s">
        <v>15</v>
      </c>
      <c r="D346" s="22"/>
      <c r="E346" s="15"/>
    </row>
    <row r="347" spans="1:5" ht="12.75">
      <c r="A347" s="31">
        <v>90015</v>
      </c>
      <c r="B347" s="26"/>
      <c r="C347" s="19" t="s">
        <v>100</v>
      </c>
      <c r="D347" s="20">
        <f>SUM(D348:D350)</f>
        <v>220000</v>
      </c>
      <c r="E347" s="15"/>
    </row>
    <row r="348" spans="1:5" ht="12.75">
      <c r="A348" s="21"/>
      <c r="B348" s="27">
        <v>4260</v>
      </c>
      <c r="C348" s="18" t="s">
        <v>43</v>
      </c>
      <c r="D348" s="22"/>
      <c r="E348" s="15"/>
    </row>
    <row r="349" spans="1:5" ht="12.75">
      <c r="A349" s="21"/>
      <c r="B349" s="27">
        <v>4300</v>
      </c>
      <c r="C349" s="18" t="s">
        <v>15</v>
      </c>
      <c r="D349" s="22"/>
      <c r="E349" s="15"/>
    </row>
    <row r="350" spans="1:5" ht="12.75">
      <c r="A350" s="21"/>
      <c r="B350" s="27">
        <v>6050</v>
      </c>
      <c r="C350" s="18" t="s">
        <v>26</v>
      </c>
      <c r="D350" s="22">
        <v>220000</v>
      </c>
      <c r="E350" s="15">
        <v>20000</v>
      </c>
    </row>
    <row r="351" spans="1:5" ht="12.75">
      <c r="A351" s="21"/>
      <c r="B351" s="27"/>
      <c r="C351" s="18"/>
      <c r="D351" s="22"/>
      <c r="E351" s="15"/>
    </row>
    <row r="352" spans="1:5" ht="12.75">
      <c r="A352" s="31">
        <v>90017</v>
      </c>
      <c r="B352" s="26"/>
      <c r="C352" s="19" t="s">
        <v>101</v>
      </c>
      <c r="D352" s="20">
        <f>SUM(D353:D353)</f>
        <v>100000</v>
      </c>
      <c r="E352" s="15"/>
    </row>
    <row r="353" spans="1:7" ht="33.75">
      <c r="A353" s="51"/>
      <c r="B353" s="27">
        <v>6210</v>
      </c>
      <c r="C353" s="44" t="s">
        <v>102</v>
      </c>
      <c r="D353" s="22">
        <v>100000</v>
      </c>
      <c r="E353" s="76">
        <v>-50000</v>
      </c>
      <c r="F353" s="13"/>
      <c r="G353" s="13"/>
    </row>
    <row r="354" spans="1:5" ht="12.75">
      <c r="A354" s="31">
        <v>90095</v>
      </c>
      <c r="B354" s="26"/>
      <c r="C354" s="19" t="s">
        <v>13</v>
      </c>
      <c r="D354" s="20">
        <f>SUM(D355:D359)</f>
        <v>0</v>
      </c>
      <c r="E354" s="15"/>
    </row>
    <row r="355" spans="1:7" ht="45">
      <c r="A355" s="51"/>
      <c r="B355" s="27">
        <v>2900</v>
      </c>
      <c r="C355" s="44" t="s">
        <v>103</v>
      </c>
      <c r="D355" s="22"/>
      <c r="E355" s="76"/>
      <c r="F355" s="13"/>
      <c r="G355" s="13"/>
    </row>
    <row r="356" spans="1:5" ht="12.75">
      <c r="A356" s="21"/>
      <c r="B356" s="27">
        <v>4210</v>
      </c>
      <c r="C356" s="18" t="s">
        <v>14</v>
      </c>
      <c r="D356" s="22"/>
      <c r="E356" s="15"/>
    </row>
    <row r="357" spans="1:5" ht="12.75">
      <c r="A357" s="21"/>
      <c r="B357" s="27">
        <v>4260</v>
      </c>
      <c r="C357" s="18" t="s">
        <v>43</v>
      </c>
      <c r="D357" s="22"/>
      <c r="E357" s="15"/>
    </row>
    <row r="358" spans="1:5" ht="12.75">
      <c r="A358" s="21"/>
      <c r="B358" s="27">
        <v>4300</v>
      </c>
      <c r="C358" s="18" t="s">
        <v>15</v>
      </c>
      <c r="D358" s="22"/>
      <c r="E358" s="15"/>
    </row>
    <row r="359" spans="1:5" ht="13.5" thickBot="1">
      <c r="A359" s="66"/>
      <c r="B359" s="56">
        <v>4430</v>
      </c>
      <c r="C359" s="57" t="s">
        <v>16</v>
      </c>
      <c r="D359" s="58"/>
      <c r="E359" s="15"/>
    </row>
    <row r="360" spans="1:5" ht="13.5" thickBot="1">
      <c r="A360" s="62">
        <v>921</v>
      </c>
      <c r="B360" s="63"/>
      <c r="C360" s="64" t="s">
        <v>104</v>
      </c>
      <c r="D360" s="65">
        <f>SUM(D361,D364,D368,D370)</f>
        <v>2300000</v>
      </c>
      <c r="E360" s="15"/>
    </row>
    <row r="361" spans="1:5" ht="12.75">
      <c r="A361" s="59">
        <v>92109</v>
      </c>
      <c r="B361" s="60"/>
      <c r="C361" s="61" t="s">
        <v>105</v>
      </c>
      <c r="D361" s="28">
        <f>D362+D363</f>
        <v>300000</v>
      </c>
      <c r="E361" s="15"/>
    </row>
    <row r="362" spans="1:5" ht="25.5">
      <c r="A362" s="21"/>
      <c r="B362" s="27">
        <v>2480</v>
      </c>
      <c r="C362" s="18" t="s">
        <v>106</v>
      </c>
      <c r="D362" s="22"/>
      <c r="E362" s="15"/>
    </row>
    <row r="363" spans="1:5" ht="12.75">
      <c r="A363" s="21"/>
      <c r="B363" s="27">
        <v>6050</v>
      </c>
      <c r="C363" s="18" t="s">
        <v>26</v>
      </c>
      <c r="D363" s="22">
        <v>300000</v>
      </c>
      <c r="E363" s="76">
        <v>200000</v>
      </c>
    </row>
    <row r="364" spans="1:5" ht="12.75">
      <c r="A364" s="31">
        <v>92116</v>
      </c>
      <c r="B364" s="26"/>
      <c r="C364" s="19" t="s">
        <v>107</v>
      </c>
      <c r="D364" s="20">
        <f>D365+D366+D367</f>
        <v>600000</v>
      </c>
      <c r="E364" s="15"/>
    </row>
    <row r="365" spans="1:5" ht="25.5">
      <c r="A365" s="31"/>
      <c r="B365" s="27">
        <v>2480</v>
      </c>
      <c r="C365" s="18" t="s">
        <v>106</v>
      </c>
      <c r="D365" s="22"/>
      <c r="E365" s="15"/>
    </row>
    <row r="366" spans="1:5" ht="12.75">
      <c r="A366" s="31"/>
      <c r="B366" s="27">
        <v>6058</v>
      </c>
      <c r="C366" s="18" t="s">
        <v>26</v>
      </c>
      <c r="D366" s="22">
        <v>300000</v>
      </c>
      <c r="E366" s="15"/>
    </row>
    <row r="367" spans="1:5" ht="12.75">
      <c r="A367" s="31"/>
      <c r="B367" s="27">
        <v>6059</v>
      </c>
      <c r="C367" s="18" t="s">
        <v>26</v>
      </c>
      <c r="D367" s="22">
        <v>300000</v>
      </c>
      <c r="E367" s="15"/>
    </row>
    <row r="368" spans="1:5" ht="12.75">
      <c r="A368" s="31">
        <v>92120</v>
      </c>
      <c r="B368" s="26"/>
      <c r="C368" s="26" t="s">
        <v>132</v>
      </c>
      <c r="D368" s="20">
        <f>D369</f>
        <v>0</v>
      </c>
      <c r="E368" s="15"/>
    </row>
    <row r="369" spans="1:5" ht="38.25">
      <c r="A369" s="31"/>
      <c r="B369" s="27">
        <v>4349</v>
      </c>
      <c r="C369" s="18" t="s">
        <v>144</v>
      </c>
      <c r="D369" s="22"/>
      <c r="E369" s="15"/>
    </row>
    <row r="370" spans="1:5" ht="12.75">
      <c r="A370" s="31">
        <v>92195</v>
      </c>
      <c r="B370" s="26"/>
      <c r="C370" s="26" t="s">
        <v>13</v>
      </c>
      <c r="D370" s="20">
        <f>SUM(D371:D376)</f>
        <v>1400000</v>
      </c>
      <c r="E370" s="15"/>
    </row>
    <row r="371" spans="1:5" ht="12.75">
      <c r="A371" s="21"/>
      <c r="B371" s="27">
        <v>4210</v>
      </c>
      <c r="C371" s="27" t="s">
        <v>14</v>
      </c>
      <c r="D371" s="22"/>
      <c r="E371" s="15"/>
    </row>
    <row r="372" spans="1:5" ht="12.75">
      <c r="A372" s="21"/>
      <c r="B372" s="27">
        <v>4260</v>
      </c>
      <c r="C372" s="18" t="s">
        <v>43</v>
      </c>
      <c r="D372" s="22"/>
      <c r="E372" s="15"/>
    </row>
    <row r="373" spans="1:5" ht="12.75">
      <c r="A373" s="21"/>
      <c r="B373" s="27">
        <v>4270</v>
      </c>
      <c r="C373" s="18" t="s">
        <v>24</v>
      </c>
      <c r="D373" s="22"/>
      <c r="E373" s="15"/>
    </row>
    <row r="374" spans="1:5" ht="12.75">
      <c r="A374" s="21"/>
      <c r="B374" s="27">
        <v>4300</v>
      </c>
      <c r="C374" s="27" t="s">
        <v>15</v>
      </c>
      <c r="D374" s="22"/>
      <c r="E374" s="15"/>
    </row>
    <row r="375" spans="1:5" ht="12.75">
      <c r="A375" s="21"/>
      <c r="B375" s="27">
        <v>6058</v>
      </c>
      <c r="C375" s="18" t="s">
        <v>26</v>
      </c>
      <c r="D375" s="22">
        <v>500000</v>
      </c>
      <c r="E375" s="15"/>
    </row>
    <row r="376" spans="1:5" ht="13.5" thickBot="1">
      <c r="A376" s="66"/>
      <c r="B376" s="56">
        <v>6059</v>
      </c>
      <c r="C376" s="57" t="s">
        <v>26</v>
      </c>
      <c r="D376" s="58">
        <v>900000</v>
      </c>
      <c r="E376" s="76">
        <v>-100000</v>
      </c>
    </row>
    <row r="377" spans="1:5" ht="13.5" thickBot="1">
      <c r="A377" s="62">
        <v>926</v>
      </c>
      <c r="B377" s="63"/>
      <c r="C377" s="64" t="s">
        <v>108</v>
      </c>
      <c r="D377" s="65">
        <f>SUM(D378,D382)</f>
        <v>60000</v>
      </c>
      <c r="E377" s="15"/>
    </row>
    <row r="378" spans="1:5" ht="12.75">
      <c r="A378" s="59">
        <v>92601</v>
      </c>
      <c r="B378" s="60"/>
      <c r="C378" s="61" t="s">
        <v>109</v>
      </c>
      <c r="D378" s="28">
        <f>SUM(D379:D381)</f>
        <v>60000</v>
      </c>
      <c r="E378" s="15"/>
    </row>
    <row r="379" spans="1:5" ht="12.75">
      <c r="A379" s="31"/>
      <c r="B379" s="27">
        <v>6050</v>
      </c>
      <c r="C379" s="18" t="s">
        <v>26</v>
      </c>
      <c r="D379" s="22">
        <v>60000</v>
      </c>
      <c r="E379" s="15"/>
    </row>
    <row r="380" spans="1:5" ht="12.75">
      <c r="A380" s="31"/>
      <c r="B380" s="27">
        <v>6058</v>
      </c>
      <c r="C380" s="18" t="s">
        <v>26</v>
      </c>
      <c r="D380" s="79">
        <v>0</v>
      </c>
      <c r="E380" s="15"/>
    </row>
    <row r="381" spans="1:5" ht="12.75">
      <c r="A381" s="21"/>
      <c r="B381" s="27">
        <v>6059</v>
      </c>
      <c r="C381" s="18" t="s">
        <v>26</v>
      </c>
      <c r="D381" s="79">
        <v>0</v>
      </c>
      <c r="E381" s="15"/>
    </row>
    <row r="382" spans="1:5" ht="12.75">
      <c r="A382" s="31">
        <v>92605</v>
      </c>
      <c r="B382" s="26"/>
      <c r="C382" s="19" t="s">
        <v>110</v>
      </c>
      <c r="D382" s="20">
        <f>SUM(D383:D391)</f>
        <v>0</v>
      </c>
      <c r="E382" s="15"/>
    </row>
    <row r="383" spans="1:5" ht="25.5">
      <c r="A383" s="31"/>
      <c r="B383" s="27">
        <v>2820</v>
      </c>
      <c r="C383" s="18" t="s">
        <v>111</v>
      </c>
      <c r="D383" s="22"/>
      <c r="E383" s="15">
        <v>15000</v>
      </c>
    </row>
    <row r="384" spans="1:5" ht="12.75">
      <c r="A384" s="21"/>
      <c r="B384" s="27">
        <v>4110</v>
      </c>
      <c r="C384" s="18" t="s">
        <v>39</v>
      </c>
      <c r="D384" s="22"/>
      <c r="E384" s="15"/>
    </row>
    <row r="385" spans="1:5" ht="12.75">
      <c r="A385" s="21"/>
      <c r="B385" s="27">
        <v>4120</v>
      </c>
      <c r="C385" s="18" t="s">
        <v>40</v>
      </c>
      <c r="D385" s="22"/>
      <c r="E385" s="15"/>
    </row>
    <row r="386" spans="1:5" ht="12.75">
      <c r="A386" s="21"/>
      <c r="B386" s="27">
        <v>4170</v>
      </c>
      <c r="C386" s="18" t="s">
        <v>42</v>
      </c>
      <c r="D386" s="22"/>
      <c r="E386" s="15"/>
    </row>
    <row r="387" spans="1:5" ht="12.75">
      <c r="A387" s="21"/>
      <c r="B387" s="27">
        <v>4210</v>
      </c>
      <c r="C387" s="18" t="s">
        <v>14</v>
      </c>
      <c r="D387" s="22"/>
      <c r="E387" s="15"/>
    </row>
    <row r="388" spans="1:5" ht="12.75">
      <c r="A388" s="21"/>
      <c r="B388" s="27">
        <v>4260</v>
      </c>
      <c r="C388" s="18" t="s">
        <v>43</v>
      </c>
      <c r="D388" s="22"/>
      <c r="E388" s="15"/>
    </row>
    <row r="389" spans="1:5" ht="12.75">
      <c r="A389" s="21"/>
      <c r="B389" s="27">
        <v>4270</v>
      </c>
      <c r="C389" s="18" t="s">
        <v>24</v>
      </c>
      <c r="D389" s="22"/>
      <c r="E389" s="15"/>
    </row>
    <row r="390" spans="1:5" ht="12.75">
      <c r="A390" s="21"/>
      <c r="B390" s="27">
        <v>4300</v>
      </c>
      <c r="C390" s="18" t="s">
        <v>15</v>
      </c>
      <c r="D390" s="22"/>
      <c r="E390" s="15"/>
    </row>
    <row r="391" spans="1:5" ht="26.25" thickBot="1">
      <c r="A391" s="66"/>
      <c r="B391" s="56">
        <v>4370</v>
      </c>
      <c r="C391" s="57" t="s">
        <v>47</v>
      </c>
      <c r="D391" s="58"/>
      <c r="E391" s="15"/>
    </row>
    <row r="392" spans="1:5" ht="13.5" thickBot="1">
      <c r="A392" s="68"/>
      <c r="B392" s="69"/>
      <c r="C392" s="70" t="s">
        <v>112</v>
      </c>
      <c r="D392" s="71">
        <f>SUM(D393,D400,D405)</f>
        <v>0</v>
      </c>
      <c r="E392" s="15"/>
    </row>
    <row r="393" spans="1:5" ht="13.5" thickBot="1">
      <c r="A393" s="62">
        <v>750</v>
      </c>
      <c r="B393" s="63"/>
      <c r="C393" s="64" t="s">
        <v>32</v>
      </c>
      <c r="D393" s="65">
        <f>SUM(D394)</f>
        <v>0</v>
      </c>
      <c r="E393" s="15"/>
    </row>
    <row r="394" spans="1:5" ht="12.75">
      <c r="A394" s="59">
        <v>75011</v>
      </c>
      <c r="B394" s="60"/>
      <c r="C394" s="61" t="s">
        <v>113</v>
      </c>
      <c r="D394" s="28">
        <f>SUM(D395:D399)</f>
        <v>0</v>
      </c>
      <c r="E394" s="15"/>
    </row>
    <row r="395" spans="1:5" ht="12.75">
      <c r="A395" s="21"/>
      <c r="B395" s="27">
        <v>4010</v>
      </c>
      <c r="C395" s="18" t="s">
        <v>37</v>
      </c>
      <c r="D395" s="22"/>
      <c r="E395" s="15"/>
    </row>
    <row r="396" spans="1:5" ht="12.75">
      <c r="A396" s="21"/>
      <c r="B396" s="27">
        <v>4040</v>
      </c>
      <c r="C396" s="18" t="s">
        <v>38</v>
      </c>
      <c r="D396" s="22"/>
      <c r="E396" s="15"/>
    </row>
    <row r="397" spans="1:5" ht="12.75">
      <c r="A397" s="21"/>
      <c r="B397" s="27">
        <v>4110</v>
      </c>
      <c r="C397" s="18" t="s">
        <v>39</v>
      </c>
      <c r="D397" s="22"/>
      <c r="E397" s="15"/>
    </row>
    <row r="398" spans="1:5" ht="12.75">
      <c r="A398" s="21"/>
      <c r="B398" s="27">
        <v>4120</v>
      </c>
      <c r="C398" s="18" t="s">
        <v>40</v>
      </c>
      <c r="D398" s="22"/>
      <c r="E398" s="15"/>
    </row>
    <row r="399" spans="1:5" ht="26.25" thickBot="1">
      <c r="A399" s="66"/>
      <c r="B399" s="56">
        <v>4440</v>
      </c>
      <c r="C399" s="57" t="s">
        <v>50</v>
      </c>
      <c r="D399" s="58"/>
      <c r="E399" s="15"/>
    </row>
    <row r="400" spans="1:5" ht="39" thickBot="1">
      <c r="A400" s="62">
        <v>751</v>
      </c>
      <c r="B400" s="63"/>
      <c r="C400" s="64" t="s">
        <v>114</v>
      </c>
      <c r="D400" s="65">
        <f>SUM(D401)</f>
        <v>0</v>
      </c>
      <c r="E400" s="15"/>
    </row>
    <row r="401" spans="1:5" ht="25.5">
      <c r="A401" s="59">
        <v>75101</v>
      </c>
      <c r="B401" s="60"/>
      <c r="C401" s="61" t="s">
        <v>115</v>
      </c>
      <c r="D401" s="28">
        <f>SUM(D402:D404)</f>
        <v>0</v>
      </c>
      <c r="E401" s="15"/>
    </row>
    <row r="402" spans="1:5" ht="12.75">
      <c r="A402" s="31"/>
      <c r="B402" s="27">
        <v>4010</v>
      </c>
      <c r="C402" s="27" t="s">
        <v>37</v>
      </c>
      <c r="D402" s="22"/>
      <c r="E402" s="15"/>
    </row>
    <row r="403" spans="1:5" ht="12.75">
      <c r="A403" s="21"/>
      <c r="B403" s="27">
        <v>4110</v>
      </c>
      <c r="C403" s="18" t="s">
        <v>39</v>
      </c>
      <c r="D403" s="22"/>
      <c r="E403" s="15"/>
    </row>
    <row r="404" spans="1:5" ht="13.5" thickBot="1">
      <c r="A404" s="66"/>
      <c r="B404" s="56">
        <v>4120</v>
      </c>
      <c r="C404" s="57" t="s">
        <v>40</v>
      </c>
      <c r="D404" s="58"/>
      <c r="E404" s="15"/>
    </row>
    <row r="405" spans="1:5" ht="13.5" thickBot="1">
      <c r="A405" s="62">
        <v>852</v>
      </c>
      <c r="B405" s="63"/>
      <c r="C405" s="64" t="s">
        <v>88</v>
      </c>
      <c r="D405" s="65">
        <f>SUM(D406,D416,D418)</f>
        <v>0</v>
      </c>
      <c r="E405" s="15"/>
    </row>
    <row r="406" spans="1:5" ht="38.25">
      <c r="A406" s="59">
        <v>85212</v>
      </c>
      <c r="B406" s="60"/>
      <c r="C406" s="61" t="s">
        <v>116</v>
      </c>
      <c r="D406" s="72">
        <f>SUM(D407:D415)</f>
        <v>0</v>
      </c>
      <c r="E406" s="15"/>
    </row>
    <row r="407" spans="1:5" ht="12.75">
      <c r="A407" s="21"/>
      <c r="B407" s="27">
        <v>3110</v>
      </c>
      <c r="C407" s="18" t="s">
        <v>91</v>
      </c>
      <c r="D407" s="22"/>
      <c r="E407" s="15"/>
    </row>
    <row r="408" spans="1:5" ht="12.75">
      <c r="A408" s="21"/>
      <c r="B408" s="27">
        <v>4010</v>
      </c>
      <c r="C408" s="18" t="s">
        <v>37</v>
      </c>
      <c r="D408" s="22"/>
      <c r="E408" s="15"/>
    </row>
    <row r="409" spans="1:5" ht="12.75">
      <c r="A409" s="21"/>
      <c r="B409" s="27">
        <v>4040</v>
      </c>
      <c r="C409" s="18" t="s">
        <v>38</v>
      </c>
      <c r="D409" s="22"/>
      <c r="E409" s="15"/>
    </row>
    <row r="410" spans="1:5" ht="12.75">
      <c r="A410" s="21"/>
      <c r="B410" s="27">
        <v>4110</v>
      </c>
      <c r="C410" s="18" t="s">
        <v>39</v>
      </c>
      <c r="D410" s="22"/>
      <c r="E410" s="15"/>
    </row>
    <row r="411" spans="1:5" ht="12.75">
      <c r="A411" s="21"/>
      <c r="B411" s="27">
        <v>4120</v>
      </c>
      <c r="C411" s="18" t="s">
        <v>40</v>
      </c>
      <c r="D411" s="22"/>
      <c r="E411" s="15"/>
    </row>
    <row r="412" spans="1:5" ht="12.75">
      <c r="A412" s="21"/>
      <c r="B412" s="27">
        <v>4210</v>
      </c>
      <c r="C412" s="18" t="s">
        <v>14</v>
      </c>
      <c r="D412" s="22"/>
      <c r="E412" s="15"/>
    </row>
    <row r="413" spans="1:5" ht="12.75">
      <c r="A413" s="21"/>
      <c r="B413" s="27">
        <v>4300</v>
      </c>
      <c r="C413" s="18" t="s">
        <v>15</v>
      </c>
      <c r="D413" s="22"/>
      <c r="E413" s="15"/>
    </row>
    <row r="414" spans="1:5" ht="12.75">
      <c r="A414" s="21"/>
      <c r="B414" s="27">
        <v>4410</v>
      </c>
      <c r="C414" s="18" t="s">
        <v>48</v>
      </c>
      <c r="D414" s="22"/>
      <c r="E414" s="15"/>
    </row>
    <row r="415" spans="1:5" ht="25.5">
      <c r="A415" s="21"/>
      <c r="B415" s="27">
        <v>4440</v>
      </c>
      <c r="C415" s="18" t="s">
        <v>50</v>
      </c>
      <c r="D415" s="22"/>
      <c r="E415" s="15"/>
    </row>
    <row r="416" spans="1:5" ht="51">
      <c r="A416" s="31">
        <v>85213</v>
      </c>
      <c r="B416" s="26"/>
      <c r="C416" s="19" t="s">
        <v>117</v>
      </c>
      <c r="D416" s="20">
        <f>SUM(D417)</f>
        <v>0</v>
      </c>
      <c r="E416" s="15"/>
    </row>
    <row r="417" spans="1:5" ht="12.75">
      <c r="A417" s="21"/>
      <c r="B417" s="27">
        <v>4130</v>
      </c>
      <c r="C417" s="18" t="s">
        <v>118</v>
      </c>
      <c r="D417" s="22"/>
      <c r="E417" s="15"/>
    </row>
    <row r="418" spans="1:5" ht="25.5">
      <c r="A418" s="31">
        <v>85214</v>
      </c>
      <c r="B418" s="26"/>
      <c r="C418" s="19" t="s">
        <v>119</v>
      </c>
      <c r="D418" s="20">
        <f>SUM(D419:D419)</f>
        <v>0</v>
      </c>
      <c r="E418" s="15"/>
    </row>
    <row r="419" spans="1:5" ht="13.5" thickBot="1">
      <c r="A419" s="53"/>
      <c r="B419" s="54">
        <v>3110</v>
      </c>
      <c r="C419" s="23" t="s">
        <v>91</v>
      </c>
      <c r="D419" s="24"/>
      <c r="E419" s="15"/>
    </row>
    <row r="420" spans="1:5" ht="13.5" thickBot="1">
      <c r="A420" s="181" t="s">
        <v>120</v>
      </c>
      <c r="B420" s="182"/>
      <c r="C420" s="183"/>
      <c r="D420" s="73">
        <f>SUM(D392,D8)</f>
        <v>11068000</v>
      </c>
      <c r="E420" s="15">
        <f>SUM(E8:E419)</f>
        <v>0</v>
      </c>
    </row>
    <row r="421" spans="1:4" ht="12.75">
      <c r="A421" s="1"/>
      <c r="B421" s="2"/>
      <c r="C421" s="3"/>
      <c r="D421" s="3"/>
    </row>
    <row r="422" spans="1:4" ht="12.75">
      <c r="A422" s="1"/>
      <c r="B422" s="2"/>
      <c r="C422" s="3"/>
      <c r="D422" s="3"/>
    </row>
    <row r="423" spans="1:4" ht="12.75">
      <c r="A423" s="1"/>
      <c r="B423" s="2"/>
      <c r="C423" s="14" t="s">
        <v>128</v>
      </c>
      <c r="D423" s="29"/>
    </row>
    <row r="424" spans="1:4" ht="12.75">
      <c r="A424" s="1"/>
      <c r="B424" s="2"/>
      <c r="C424" s="14" t="s">
        <v>129</v>
      </c>
      <c r="D424" s="4"/>
    </row>
    <row r="425" spans="1:4" ht="12.75">
      <c r="A425" s="1"/>
      <c r="B425" s="2"/>
      <c r="C425" s="14"/>
      <c r="D425" s="4"/>
    </row>
    <row r="426" spans="1:4" ht="12.75">
      <c r="A426" s="1"/>
      <c r="B426" s="2"/>
      <c r="C426" s="14" t="s">
        <v>130</v>
      </c>
      <c r="D426" s="4"/>
    </row>
    <row r="427" spans="1:3" ht="12.75">
      <c r="A427" s="1"/>
      <c r="B427" s="2"/>
      <c r="C427" s="14" t="s">
        <v>131</v>
      </c>
    </row>
    <row r="428" spans="1:3" ht="12.75">
      <c r="A428" s="1"/>
      <c r="B428" s="74"/>
      <c r="C428" s="15">
        <v>5000</v>
      </c>
    </row>
    <row r="429" spans="1:3" ht="12.75">
      <c r="A429" s="1"/>
      <c r="B429" s="74"/>
      <c r="C429" s="15">
        <v>700</v>
      </c>
    </row>
    <row r="430" spans="1:3" ht="12.75">
      <c r="A430" s="1"/>
      <c r="B430" s="74"/>
      <c r="C430" s="15">
        <v>1663268</v>
      </c>
    </row>
    <row r="431" spans="1:3" ht="12.75">
      <c r="A431" s="1"/>
      <c r="B431" s="74"/>
      <c r="C431" s="15">
        <v>141387</v>
      </c>
    </row>
    <row r="432" spans="1:3" ht="12.75">
      <c r="A432" s="1"/>
      <c r="B432" s="74"/>
      <c r="C432" s="15">
        <v>268120</v>
      </c>
    </row>
    <row r="433" spans="1:3" ht="12.75">
      <c r="A433" s="1"/>
      <c r="B433" s="74"/>
      <c r="C433" s="15">
        <v>43579</v>
      </c>
    </row>
    <row r="434" spans="1:3" ht="12.75">
      <c r="A434" s="1"/>
      <c r="B434" s="74"/>
      <c r="C434" s="15">
        <v>18000</v>
      </c>
    </row>
    <row r="435" spans="1:3" ht="12.75">
      <c r="A435" s="1"/>
      <c r="B435" s="74"/>
      <c r="C435" s="15">
        <v>1500</v>
      </c>
    </row>
    <row r="436" spans="1:3" ht="12.75">
      <c r="A436" s="1"/>
      <c r="B436" s="74"/>
      <c r="C436" s="15">
        <v>6000</v>
      </c>
    </row>
    <row r="437" spans="1:3" ht="12.75">
      <c r="A437" s="1"/>
      <c r="B437" s="74"/>
      <c r="C437" s="15">
        <v>1000</v>
      </c>
    </row>
    <row r="438" spans="1:3" ht="12.75">
      <c r="A438" s="1"/>
      <c r="B438" s="74"/>
      <c r="C438" s="15">
        <v>44000</v>
      </c>
    </row>
    <row r="439" ht="12.75">
      <c r="C439" s="15">
        <v>88000</v>
      </c>
    </row>
    <row r="440" ht="12.75">
      <c r="C440" s="15">
        <v>3450121</v>
      </c>
    </row>
    <row r="441" ht="12.75">
      <c r="C441" s="15">
        <v>289702</v>
      </c>
    </row>
    <row r="442" ht="12.75">
      <c r="C442" s="15">
        <v>613734</v>
      </c>
    </row>
    <row r="443" ht="12.75">
      <c r="C443" s="15">
        <v>101038</v>
      </c>
    </row>
    <row r="444" ht="12.75">
      <c r="C444" s="15">
        <v>13000</v>
      </c>
    </row>
    <row r="445" ht="12.75">
      <c r="C445" s="15">
        <v>174543</v>
      </c>
    </row>
    <row r="446" ht="12.75">
      <c r="C446" s="15">
        <v>14678</v>
      </c>
    </row>
    <row r="447" ht="12.75">
      <c r="C447" s="15">
        <v>31934</v>
      </c>
    </row>
    <row r="448" ht="12.75">
      <c r="C448" s="15">
        <v>5262</v>
      </c>
    </row>
    <row r="449" ht="12.75">
      <c r="C449" s="15">
        <v>652080</v>
      </c>
    </row>
    <row r="450" ht="12.75">
      <c r="C450" s="15">
        <v>55670</v>
      </c>
    </row>
    <row r="451" ht="12.75">
      <c r="C451" s="15">
        <v>130352</v>
      </c>
    </row>
    <row r="452" ht="12.75">
      <c r="C452" s="15">
        <v>20610</v>
      </c>
    </row>
    <row r="453" ht="12.75">
      <c r="C453" s="15">
        <v>2000</v>
      </c>
    </row>
    <row r="454" ht="12.75">
      <c r="C454" s="15">
        <v>1818866</v>
      </c>
    </row>
    <row r="455" ht="12.75">
      <c r="C455" s="15">
        <v>155000</v>
      </c>
    </row>
    <row r="456" ht="12.75">
      <c r="C456" s="15">
        <v>348121</v>
      </c>
    </row>
    <row r="457" ht="12.75">
      <c r="C457" s="15">
        <v>55623</v>
      </c>
    </row>
    <row r="458" ht="12.75">
      <c r="C458" s="15">
        <v>1500</v>
      </c>
    </row>
    <row r="459" ht="12.75">
      <c r="C459" s="15">
        <v>80705</v>
      </c>
    </row>
    <row r="460" ht="12.75">
      <c r="C460" s="15">
        <v>7113</v>
      </c>
    </row>
    <row r="461" ht="12.75">
      <c r="C461" s="15">
        <v>18770</v>
      </c>
    </row>
    <row r="462" ht="12.75">
      <c r="C462" s="15">
        <v>2966</v>
      </c>
    </row>
    <row r="463" ht="12.75">
      <c r="C463" s="15">
        <v>220739</v>
      </c>
    </row>
    <row r="464" ht="12.75">
      <c r="C464" s="15">
        <v>17800</v>
      </c>
    </row>
    <row r="465" ht="12.75">
      <c r="C465" s="15">
        <v>39989</v>
      </c>
    </row>
    <row r="466" ht="12.75">
      <c r="C466" s="15">
        <v>6535</v>
      </c>
    </row>
    <row r="467" ht="12.75">
      <c r="C467" s="15">
        <v>6000</v>
      </c>
    </row>
    <row r="468" ht="12.75">
      <c r="C468" s="15">
        <v>91839</v>
      </c>
    </row>
    <row r="469" ht="12.75">
      <c r="C469" s="15">
        <v>8500</v>
      </c>
    </row>
    <row r="470" ht="12.75">
      <c r="C470" s="15">
        <v>17495</v>
      </c>
    </row>
    <row r="471" ht="12.75">
      <c r="C471" s="15">
        <v>2839</v>
      </c>
    </row>
    <row r="472" ht="12.75">
      <c r="C472" s="15">
        <v>1000</v>
      </c>
    </row>
    <row r="473" ht="12.75">
      <c r="C473" s="15">
        <v>200</v>
      </c>
    </row>
    <row r="474" ht="12.75">
      <c r="C474" s="15">
        <v>19300</v>
      </c>
    </row>
    <row r="475" ht="12.75">
      <c r="C475" s="15">
        <v>24500</v>
      </c>
    </row>
    <row r="476" ht="12.75">
      <c r="C476" s="15">
        <v>12100</v>
      </c>
    </row>
    <row r="477" ht="12.75">
      <c r="C477" s="15">
        <v>700</v>
      </c>
    </row>
    <row r="478" ht="12.75">
      <c r="C478" s="15">
        <v>15478</v>
      </c>
    </row>
    <row r="479" ht="12.75">
      <c r="C479" s="15">
        <v>447000</v>
      </c>
    </row>
    <row r="480" ht="12.75">
      <c r="C480" s="15">
        <v>32020</v>
      </c>
    </row>
    <row r="481" ht="12.75">
      <c r="C481" s="15">
        <v>68000</v>
      </c>
    </row>
    <row r="482" ht="12.75">
      <c r="C482" s="15">
        <v>13000</v>
      </c>
    </row>
    <row r="483" ht="12.75">
      <c r="C483" s="15">
        <v>20000</v>
      </c>
    </row>
    <row r="484" ht="12.75">
      <c r="C484" s="15">
        <v>130963</v>
      </c>
    </row>
    <row r="485" ht="12.75">
      <c r="C485" s="15">
        <v>8244</v>
      </c>
    </row>
    <row r="486" ht="12.75">
      <c r="C486" s="15">
        <v>28654</v>
      </c>
    </row>
    <row r="487" ht="12.75">
      <c r="C487" s="15">
        <v>4617</v>
      </c>
    </row>
    <row r="488" ht="12.75">
      <c r="C488" s="15">
        <v>1500</v>
      </c>
    </row>
    <row r="489" ht="12.75">
      <c r="C489" s="15">
        <v>200</v>
      </c>
    </row>
    <row r="490" ht="12.75">
      <c r="C490" s="15">
        <v>30000</v>
      </c>
    </row>
    <row r="491" ht="12.75">
      <c r="C491" s="15">
        <v>60764</v>
      </c>
    </row>
    <row r="492" ht="12.75">
      <c r="C492" s="15">
        <v>8070</v>
      </c>
    </row>
    <row r="493" ht="12.75">
      <c r="C493" s="15">
        <v>10396</v>
      </c>
    </row>
    <row r="494" ht="12.75">
      <c r="C494" s="15">
        <v>1770</v>
      </c>
    </row>
    <row r="495" ht="12.75">
      <c r="C495" s="15">
        <v>1539</v>
      </c>
    </row>
    <row r="496" ht="12.75">
      <c r="C496" s="15">
        <v>263</v>
      </c>
    </row>
    <row r="497" ht="12.75">
      <c r="C497" s="15">
        <v>38</v>
      </c>
    </row>
    <row r="498" ht="12.75">
      <c r="C498" s="15">
        <v>56599</v>
      </c>
    </row>
    <row r="499" ht="12.75">
      <c r="C499" s="15">
        <v>6069</v>
      </c>
    </row>
    <row r="500" ht="12.75">
      <c r="C500" s="15">
        <v>31600</v>
      </c>
    </row>
    <row r="501" ht="12.75">
      <c r="C501" s="15">
        <v>1300</v>
      </c>
    </row>
    <row r="502" ht="12.75">
      <c r="C502" s="15">
        <v>15000</v>
      </c>
    </row>
    <row r="503" ht="12.75">
      <c r="C503" s="15">
        <f>SUM(C428:C502)</f>
        <v>11786562</v>
      </c>
    </row>
  </sheetData>
  <sheetProtection/>
  <mergeCells count="2">
    <mergeCell ref="C1:D1"/>
    <mergeCell ref="A420:C4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1"/>
  <sheetViews>
    <sheetView zoomScalePageLayoutView="0" workbookViewId="0" topLeftCell="A50">
      <selection activeCell="I421" sqref="I421"/>
    </sheetView>
  </sheetViews>
  <sheetFormatPr defaultColWidth="9.00390625" defaultRowHeight="12.75"/>
  <cols>
    <col min="1" max="1" width="6.625" style="0" customWidth="1"/>
    <col min="2" max="2" width="6.375" style="0" customWidth="1"/>
    <col min="3" max="3" width="54.875" style="0" customWidth="1"/>
    <col min="4" max="4" width="13.125" style="0" customWidth="1"/>
    <col min="9" max="9" width="10.125" style="0" bestFit="1" customWidth="1"/>
  </cols>
  <sheetData>
    <row r="1" spans="1:4" ht="12.75">
      <c r="A1" s="6" t="s">
        <v>123</v>
      </c>
      <c r="B1" s="7"/>
      <c r="C1" s="8"/>
      <c r="D1" s="8"/>
    </row>
    <row r="2" spans="1:4" ht="13.5" thickBot="1">
      <c r="A2" s="6"/>
      <c r="B2" s="7"/>
      <c r="C2" s="8"/>
      <c r="D2" s="8"/>
    </row>
    <row r="3" spans="1:7" ht="26.25" thickBot="1">
      <c r="A3" s="32" t="s">
        <v>0</v>
      </c>
      <c r="B3" s="33" t="s">
        <v>1</v>
      </c>
      <c r="C3" s="34" t="s">
        <v>2</v>
      </c>
      <c r="D3" s="37" t="s">
        <v>121</v>
      </c>
      <c r="E3" s="15" t="s">
        <v>141</v>
      </c>
      <c r="G3" t="s">
        <v>137</v>
      </c>
    </row>
    <row r="4" spans="1:5" ht="13.5" thickBot="1">
      <c r="A4" s="35">
        <v>1</v>
      </c>
      <c r="B4" s="9">
        <v>2</v>
      </c>
      <c r="C4" s="9">
        <v>3</v>
      </c>
      <c r="D4" s="38">
        <v>4</v>
      </c>
      <c r="E4" s="75"/>
    </row>
    <row r="5" spans="1:5" ht="13.5" thickBot="1">
      <c r="A5" s="36"/>
      <c r="B5" s="11"/>
      <c r="C5" s="12" t="s">
        <v>3</v>
      </c>
      <c r="D5" s="39">
        <f>SUM(D6,D18,D21,D36,D43,D50,D96,D116,D123,D128,D131,D272,D288,D317,D334,D357,D374)</f>
        <v>11064924.808</v>
      </c>
      <c r="E5" s="15"/>
    </row>
    <row r="6" spans="1:5" ht="13.5" customHeight="1" hidden="1" thickBot="1">
      <c r="A6" s="40" t="s">
        <v>4</v>
      </c>
      <c r="B6" s="41"/>
      <c r="C6" s="42" t="s">
        <v>5</v>
      </c>
      <c r="D6" s="43">
        <f>SUM(D7,D12,D14)</f>
        <v>0</v>
      </c>
      <c r="E6" s="15"/>
    </row>
    <row r="7" spans="1:5" ht="12.75" customHeight="1" hidden="1">
      <c r="A7" s="45" t="s">
        <v>6</v>
      </c>
      <c r="B7" s="46"/>
      <c r="C7" s="47" t="s">
        <v>7</v>
      </c>
      <c r="D7" s="48">
        <f>SUM(D8:D11)</f>
        <v>0</v>
      </c>
      <c r="E7" s="15"/>
    </row>
    <row r="8" spans="1:5" ht="12.75" customHeight="1" hidden="1">
      <c r="A8" s="49"/>
      <c r="B8" s="27">
        <v>4300</v>
      </c>
      <c r="C8" s="18" t="s">
        <v>15</v>
      </c>
      <c r="D8" s="22"/>
      <c r="E8" s="15"/>
    </row>
    <row r="9" spans="1:5" ht="12.75" customHeight="1" hidden="1">
      <c r="A9" s="49"/>
      <c r="B9" s="27">
        <v>6058</v>
      </c>
      <c r="C9" s="18" t="s">
        <v>26</v>
      </c>
      <c r="D9" s="22"/>
      <c r="E9" s="15"/>
    </row>
    <row r="10" spans="1:5" ht="12.75" customHeight="1" hidden="1">
      <c r="A10" s="49"/>
      <c r="B10" s="27">
        <v>6059</v>
      </c>
      <c r="C10" s="18" t="s">
        <v>26</v>
      </c>
      <c r="D10" s="22"/>
      <c r="E10" s="15"/>
    </row>
    <row r="11" spans="1:5" ht="33.75" customHeight="1" hidden="1">
      <c r="A11" s="50"/>
      <c r="B11" s="27">
        <v>6659</v>
      </c>
      <c r="C11" s="44" t="s">
        <v>8</v>
      </c>
      <c r="D11" s="22"/>
      <c r="E11" s="15"/>
    </row>
    <row r="12" spans="1:5" ht="12.75" customHeight="1" hidden="1">
      <c r="A12" s="49" t="s">
        <v>9</v>
      </c>
      <c r="B12" s="26"/>
      <c r="C12" s="19" t="s">
        <v>10</v>
      </c>
      <c r="D12" s="20">
        <f>SUM(D13)</f>
        <v>0</v>
      </c>
      <c r="E12" s="15"/>
    </row>
    <row r="13" spans="1:5" ht="25.5" customHeight="1" hidden="1">
      <c r="A13" s="50"/>
      <c r="B13" s="27">
        <v>2850</v>
      </c>
      <c r="C13" s="18" t="s">
        <v>11</v>
      </c>
      <c r="D13" s="22"/>
      <c r="E13" s="15"/>
    </row>
    <row r="14" spans="1:5" ht="12.75" customHeight="1" hidden="1">
      <c r="A14" s="49" t="s">
        <v>12</v>
      </c>
      <c r="B14" s="26"/>
      <c r="C14" s="19" t="s">
        <v>13</v>
      </c>
      <c r="D14" s="20">
        <f>SUM(D15:D17)</f>
        <v>0</v>
      </c>
      <c r="E14" s="15"/>
    </row>
    <row r="15" spans="1:5" ht="12.75" customHeight="1" hidden="1">
      <c r="A15" s="50"/>
      <c r="B15" s="27">
        <v>4210</v>
      </c>
      <c r="C15" s="18" t="s">
        <v>14</v>
      </c>
      <c r="D15" s="22"/>
      <c r="E15" s="15"/>
    </row>
    <row r="16" spans="1:5" ht="12.75" customHeight="1" hidden="1">
      <c r="A16" s="50"/>
      <c r="B16" s="27">
        <v>4300</v>
      </c>
      <c r="C16" s="18" t="s">
        <v>15</v>
      </c>
      <c r="D16" s="22"/>
      <c r="E16" s="15"/>
    </row>
    <row r="17" spans="1:5" ht="13.5" customHeight="1" hidden="1" thickBot="1">
      <c r="A17" s="55"/>
      <c r="B17" s="56">
        <v>4430</v>
      </c>
      <c r="C17" s="57" t="s">
        <v>16</v>
      </c>
      <c r="D17" s="58"/>
      <c r="E17" s="15"/>
    </row>
    <row r="18" spans="1:5" ht="13.5" customHeight="1" hidden="1" thickBot="1">
      <c r="A18" s="62">
        <v>500</v>
      </c>
      <c r="B18" s="63"/>
      <c r="C18" s="64" t="s">
        <v>17</v>
      </c>
      <c r="D18" s="65">
        <f>SUM(D19)</f>
        <v>0</v>
      </c>
      <c r="E18" s="15"/>
    </row>
    <row r="19" spans="1:5" ht="12.75" customHeight="1" hidden="1">
      <c r="A19" s="59">
        <v>50095</v>
      </c>
      <c r="B19" s="60"/>
      <c r="C19" s="61" t="s">
        <v>13</v>
      </c>
      <c r="D19" s="28">
        <f>SUM(D20:D20)</f>
        <v>0</v>
      </c>
      <c r="E19" s="15"/>
    </row>
    <row r="20" spans="1:5" ht="13.5" customHeight="1" hidden="1" thickBot="1">
      <c r="A20" s="66"/>
      <c r="B20" s="56">
        <v>4300</v>
      </c>
      <c r="C20" s="57" t="s">
        <v>15</v>
      </c>
      <c r="D20" s="58"/>
      <c r="E20" s="15"/>
    </row>
    <row r="21" spans="1:5" ht="13.5" customHeight="1" hidden="1" thickBot="1">
      <c r="A21" s="62">
        <v>600</v>
      </c>
      <c r="B21" s="63"/>
      <c r="C21" s="64" t="s">
        <v>18</v>
      </c>
      <c r="D21" s="65">
        <f>SUM(D22,D26,D24,D28)</f>
        <v>0</v>
      </c>
      <c r="E21" s="15"/>
    </row>
    <row r="22" spans="1:5" ht="12.75" customHeight="1" hidden="1">
      <c r="A22" s="59">
        <v>60004</v>
      </c>
      <c r="B22" s="60"/>
      <c r="C22" s="61" t="s">
        <v>19</v>
      </c>
      <c r="D22" s="28">
        <f>SUM(D23)</f>
        <v>0</v>
      </c>
      <c r="E22" s="15"/>
    </row>
    <row r="23" spans="1:5" ht="33.75" customHeight="1" hidden="1">
      <c r="A23" s="21"/>
      <c r="B23" s="27">
        <v>2310</v>
      </c>
      <c r="C23" s="44" t="s">
        <v>20</v>
      </c>
      <c r="D23" s="22"/>
      <c r="E23" s="15">
        <v>781</v>
      </c>
    </row>
    <row r="24" spans="1:5" ht="12.75" customHeight="1" hidden="1">
      <c r="A24" s="31">
        <v>60013</v>
      </c>
      <c r="B24" s="26"/>
      <c r="C24" s="19" t="s">
        <v>138</v>
      </c>
      <c r="D24" s="20">
        <f>SUM(D25:D25)</f>
        <v>0</v>
      </c>
      <c r="E24" s="15"/>
    </row>
    <row r="25" spans="1:5" ht="22.5" customHeight="1" hidden="1">
      <c r="A25" s="51"/>
      <c r="B25" s="27">
        <v>2710</v>
      </c>
      <c r="C25" s="44" t="s">
        <v>22</v>
      </c>
      <c r="D25" s="22"/>
      <c r="E25" s="15">
        <v>50000</v>
      </c>
    </row>
    <row r="26" spans="1:5" ht="12.75" customHeight="1" hidden="1">
      <c r="A26" s="31">
        <v>60014</v>
      </c>
      <c r="B26" s="26"/>
      <c r="C26" s="19" t="s">
        <v>21</v>
      </c>
      <c r="D26" s="20">
        <f>SUM(D27:D27)</f>
        <v>0</v>
      </c>
      <c r="E26" s="15"/>
    </row>
    <row r="27" spans="1:5" ht="12.75" customHeight="1" hidden="1">
      <c r="A27" s="51"/>
      <c r="B27" s="27">
        <v>2710</v>
      </c>
      <c r="C27" s="44" t="s">
        <v>22</v>
      </c>
      <c r="D27" s="22"/>
      <c r="E27" s="76"/>
    </row>
    <row r="28" spans="1:5" ht="12.75" customHeight="1" hidden="1">
      <c r="A28" s="31">
        <v>60016</v>
      </c>
      <c r="B28" s="26"/>
      <c r="C28" s="19" t="s">
        <v>23</v>
      </c>
      <c r="D28" s="20">
        <f>SUM(D29:D35)</f>
        <v>0</v>
      </c>
      <c r="E28" s="15"/>
    </row>
    <row r="29" spans="1:5" ht="12.75" customHeight="1" hidden="1">
      <c r="A29" s="21"/>
      <c r="B29" s="27">
        <v>4270</v>
      </c>
      <c r="C29" s="18" t="s">
        <v>24</v>
      </c>
      <c r="D29" s="22"/>
      <c r="E29" s="15"/>
    </row>
    <row r="30" spans="1:5" ht="12.75" customHeight="1" hidden="1">
      <c r="A30" s="21"/>
      <c r="B30" s="27">
        <v>4300</v>
      </c>
      <c r="C30" s="18" t="s">
        <v>15</v>
      </c>
      <c r="D30" s="22"/>
      <c r="E30" s="15">
        <v>-781</v>
      </c>
    </row>
    <row r="31" spans="1:5" ht="12.75" customHeight="1" hidden="1">
      <c r="A31" s="21"/>
      <c r="B31" s="27">
        <v>4430</v>
      </c>
      <c r="C31" s="18" t="s">
        <v>16</v>
      </c>
      <c r="D31" s="22"/>
      <c r="E31" s="15"/>
    </row>
    <row r="32" spans="1:5" ht="12.75" customHeight="1" hidden="1">
      <c r="A32" s="21"/>
      <c r="B32" s="27">
        <v>4590</v>
      </c>
      <c r="C32" s="18" t="s">
        <v>25</v>
      </c>
      <c r="D32" s="22"/>
      <c r="E32" s="15"/>
    </row>
    <row r="33" spans="1:5" ht="13.5" customHeight="1" hidden="1">
      <c r="A33" s="21"/>
      <c r="B33" s="27">
        <v>6050</v>
      </c>
      <c r="C33" s="18" t="s">
        <v>26</v>
      </c>
      <c r="D33" s="22"/>
      <c r="E33" s="15">
        <v>50000</v>
      </c>
    </row>
    <row r="34" spans="1:5" ht="13.5" customHeight="1" hidden="1">
      <c r="A34" s="21"/>
      <c r="B34" s="27">
        <v>6058</v>
      </c>
      <c r="C34" s="18" t="s">
        <v>26</v>
      </c>
      <c r="D34" s="22"/>
      <c r="E34" s="15"/>
    </row>
    <row r="35" spans="1:5" ht="52.5" customHeight="1" hidden="1" thickBot="1">
      <c r="A35" s="66"/>
      <c r="B35" s="56">
        <v>6059</v>
      </c>
      <c r="C35" s="57" t="s">
        <v>26</v>
      </c>
      <c r="D35" s="58"/>
      <c r="E35" s="15"/>
    </row>
    <row r="36" spans="1:5" ht="12.75" customHeight="1" thickBot="1">
      <c r="A36" s="62">
        <v>700</v>
      </c>
      <c r="B36" s="63"/>
      <c r="C36" s="64" t="s">
        <v>27</v>
      </c>
      <c r="D36" s="65">
        <f>SUM(D37,D41)</f>
        <v>0</v>
      </c>
      <c r="E36" s="15"/>
    </row>
    <row r="37" spans="1:5" ht="12.75" customHeight="1" hidden="1">
      <c r="A37" s="59">
        <v>70005</v>
      </c>
      <c r="B37" s="60"/>
      <c r="C37" s="61" t="s">
        <v>28</v>
      </c>
      <c r="D37" s="28">
        <f>SUM(D38:D40)</f>
        <v>0</v>
      </c>
      <c r="E37" s="15"/>
    </row>
    <row r="38" spans="1:5" ht="12.75" customHeight="1" hidden="1">
      <c r="A38" s="31"/>
      <c r="B38" s="27">
        <v>4260</v>
      </c>
      <c r="C38" s="18" t="s">
        <v>43</v>
      </c>
      <c r="D38" s="22"/>
      <c r="E38" s="15"/>
    </row>
    <row r="39" spans="1:5" ht="12.75" customHeight="1" hidden="1">
      <c r="A39" s="21"/>
      <c r="B39" s="27">
        <v>4300</v>
      </c>
      <c r="C39" s="18" t="s">
        <v>15</v>
      </c>
      <c r="D39" s="22"/>
      <c r="E39" s="15"/>
    </row>
    <row r="40" spans="1:5" ht="13.5" customHeight="1" hidden="1">
      <c r="A40" s="21"/>
      <c r="B40" s="27">
        <v>4590</v>
      </c>
      <c r="C40" s="18" t="s">
        <v>25</v>
      </c>
      <c r="D40" s="22"/>
      <c r="E40" s="15"/>
    </row>
    <row r="41" spans="1:5" ht="13.5" customHeight="1" hidden="1">
      <c r="A41" s="31">
        <v>70095</v>
      </c>
      <c r="B41" s="26"/>
      <c r="C41" s="19" t="s">
        <v>13</v>
      </c>
      <c r="D41" s="20">
        <f>SUM(D42:D42)</f>
        <v>0</v>
      </c>
      <c r="E41" s="15"/>
    </row>
    <row r="42" spans="1:5" ht="12.75" customHeight="1" hidden="1" thickBot="1">
      <c r="A42" s="66"/>
      <c r="B42" s="56">
        <v>4300</v>
      </c>
      <c r="C42" s="57" t="s">
        <v>15</v>
      </c>
      <c r="D42" s="58"/>
      <c r="E42" s="15"/>
    </row>
    <row r="43" spans="1:5" ht="12.75" customHeight="1" hidden="1" thickBot="1">
      <c r="A43" s="62">
        <v>710</v>
      </c>
      <c r="B43" s="63"/>
      <c r="C43" s="64" t="s">
        <v>29</v>
      </c>
      <c r="D43" s="65">
        <f>SUM(D44,D46,D48)</f>
        <v>0</v>
      </c>
      <c r="E43" s="15"/>
    </row>
    <row r="44" spans="1:5" ht="25.5" customHeight="1" hidden="1">
      <c r="A44" s="59">
        <v>71004</v>
      </c>
      <c r="B44" s="60"/>
      <c r="C44" s="61" t="s">
        <v>30</v>
      </c>
      <c r="D44" s="28">
        <f>SUM(D45:D45)</f>
        <v>0</v>
      </c>
      <c r="E44" s="15"/>
    </row>
    <row r="45" spans="1:5" ht="12.75" customHeight="1" hidden="1">
      <c r="A45" s="21"/>
      <c r="B45" s="27">
        <v>4300</v>
      </c>
      <c r="C45" s="18" t="s">
        <v>15</v>
      </c>
      <c r="D45" s="22"/>
      <c r="E45" s="15"/>
    </row>
    <row r="46" spans="1:5" ht="12.75" customHeight="1" hidden="1">
      <c r="A46" s="31">
        <v>71013</v>
      </c>
      <c r="B46" s="26"/>
      <c r="C46" s="19" t="s">
        <v>31</v>
      </c>
      <c r="D46" s="20">
        <f>SUM(D47)</f>
        <v>0</v>
      </c>
      <c r="E46" s="15"/>
    </row>
    <row r="47" spans="1:5" ht="13.5" customHeight="1" hidden="1">
      <c r="A47" s="21"/>
      <c r="B47" s="27">
        <v>4300</v>
      </c>
      <c r="C47" s="18" t="s">
        <v>15</v>
      </c>
      <c r="D47" s="22"/>
      <c r="E47" s="15"/>
    </row>
    <row r="48" spans="1:5" ht="12.75" hidden="1">
      <c r="A48" s="31">
        <v>71095</v>
      </c>
      <c r="B48" s="26"/>
      <c r="C48" s="19" t="s">
        <v>13</v>
      </c>
      <c r="D48" s="20">
        <f>SUM(D49)</f>
        <v>0</v>
      </c>
      <c r="E48" s="15"/>
    </row>
    <row r="49" spans="1:5" ht="13.5" hidden="1" thickBot="1">
      <c r="A49" s="66"/>
      <c r="B49" s="56">
        <v>4300</v>
      </c>
      <c r="C49" s="57" t="s">
        <v>15</v>
      </c>
      <c r="D49" s="58"/>
      <c r="E49" s="15"/>
    </row>
    <row r="50" spans="1:7" ht="13.5" thickBot="1">
      <c r="A50" s="62">
        <v>750</v>
      </c>
      <c r="B50" s="63"/>
      <c r="C50" s="64" t="s">
        <v>32</v>
      </c>
      <c r="D50" s="65">
        <f>SUM(D51,D57,D83,D86)</f>
        <v>2004246.308</v>
      </c>
      <c r="E50" s="15"/>
      <c r="G50" t="s">
        <v>134</v>
      </c>
    </row>
    <row r="51" spans="1:7" ht="12.75">
      <c r="A51" s="59">
        <v>75022</v>
      </c>
      <c r="B51" s="60"/>
      <c r="C51" s="61" t="s">
        <v>33</v>
      </c>
      <c r="D51" s="28">
        <f>SUM(D52:D56)</f>
        <v>0</v>
      </c>
      <c r="E51" s="15"/>
      <c r="G51" t="s">
        <v>135</v>
      </c>
    </row>
    <row r="52" spans="1:7" ht="12.75">
      <c r="A52" s="21"/>
      <c r="B52" s="27">
        <v>3030</v>
      </c>
      <c r="C52" s="18" t="s">
        <v>34</v>
      </c>
      <c r="D52" s="22"/>
      <c r="E52" s="15"/>
      <c r="G52">
        <v>4090</v>
      </c>
    </row>
    <row r="53" spans="1:7" ht="12.75">
      <c r="A53" s="21"/>
      <c r="B53" s="27">
        <v>4210</v>
      </c>
      <c r="C53" s="18" t="s">
        <v>14</v>
      </c>
      <c r="D53" s="22"/>
      <c r="E53" s="15"/>
      <c r="G53">
        <v>4100</v>
      </c>
    </row>
    <row r="54" spans="1:7" ht="12.75">
      <c r="A54" s="21"/>
      <c r="B54" s="27">
        <v>4300</v>
      </c>
      <c r="C54" s="18" t="s">
        <v>15</v>
      </c>
      <c r="D54" s="22"/>
      <c r="E54" s="15"/>
      <c r="G54">
        <v>4110</v>
      </c>
    </row>
    <row r="55" spans="1:7" ht="12.75">
      <c r="A55" s="21"/>
      <c r="B55" s="27">
        <v>4410</v>
      </c>
      <c r="C55" s="18" t="s">
        <v>48</v>
      </c>
      <c r="D55" s="22"/>
      <c r="E55" s="15"/>
      <c r="G55">
        <v>4120</v>
      </c>
    </row>
    <row r="56" spans="1:7" ht="12.75">
      <c r="A56" s="21"/>
      <c r="B56" s="27">
        <v>4430</v>
      </c>
      <c r="C56" s="18" t="s">
        <v>16</v>
      </c>
      <c r="D56" s="22"/>
      <c r="E56" s="15"/>
      <c r="G56">
        <v>4130</v>
      </c>
    </row>
    <row r="57" spans="1:9" ht="12.75">
      <c r="A57" s="31">
        <v>75023</v>
      </c>
      <c r="B57" s="26"/>
      <c r="C57" s="19" t="s">
        <v>35</v>
      </c>
      <c r="D57" s="20">
        <f>SUM(D58:D82)</f>
        <v>2004246.308</v>
      </c>
      <c r="E57" s="15"/>
      <c r="G57">
        <v>4170</v>
      </c>
      <c r="I57" s="80" t="s">
        <v>136</v>
      </c>
    </row>
    <row r="58" spans="1:5" ht="12.75">
      <c r="A58" s="21"/>
      <c r="B58" s="27">
        <v>3020</v>
      </c>
      <c r="C58" s="18" t="s">
        <v>36</v>
      </c>
      <c r="D58" s="22"/>
      <c r="E58" s="15"/>
    </row>
    <row r="59" spans="1:5" ht="12.75">
      <c r="A59" s="21"/>
      <c r="B59" s="27">
        <v>4010</v>
      </c>
      <c r="C59" s="18" t="s">
        <v>37</v>
      </c>
      <c r="D59" s="22">
        <v>1573000</v>
      </c>
      <c r="E59" s="15"/>
    </row>
    <row r="60" spans="1:5" ht="12.75">
      <c r="A60" s="21"/>
      <c r="B60" s="27">
        <v>4040</v>
      </c>
      <c r="C60" s="18" t="s">
        <v>38</v>
      </c>
      <c r="D60" s="22">
        <f>113600+(D64*15.1%)</f>
        <v>116016</v>
      </c>
      <c r="E60" s="15"/>
    </row>
    <row r="61" spans="1:5" ht="12.75">
      <c r="A61" s="21"/>
      <c r="B61" s="27">
        <v>4110</v>
      </c>
      <c r="C61" s="18" t="s">
        <v>39</v>
      </c>
      <c r="D61" s="22">
        <f>(D59+D60+D64)*15.1%</f>
        <v>257457.416</v>
      </c>
      <c r="E61" s="15"/>
    </row>
    <row r="62" spans="1:5" ht="12.75">
      <c r="A62" s="21"/>
      <c r="B62" s="27">
        <v>4120</v>
      </c>
      <c r="C62" s="18" t="s">
        <v>40</v>
      </c>
      <c r="D62" s="22">
        <f>(D59+D60+D64)*2.45%</f>
        <v>41772.892</v>
      </c>
      <c r="E62" s="15"/>
    </row>
    <row r="63" spans="1:5" ht="25.5">
      <c r="A63" s="21"/>
      <c r="B63" s="27">
        <v>4140</v>
      </c>
      <c r="C63" s="18" t="s">
        <v>41</v>
      </c>
      <c r="D63" s="22">
        <v>0</v>
      </c>
      <c r="E63" s="15"/>
    </row>
    <row r="64" spans="1:5" ht="12.75">
      <c r="A64" s="21"/>
      <c r="B64" s="27">
        <v>4170</v>
      </c>
      <c r="C64" s="18" t="s">
        <v>42</v>
      </c>
      <c r="D64" s="22">
        <v>16000</v>
      </c>
      <c r="E64" s="15"/>
    </row>
    <row r="65" spans="1:5" ht="12.75">
      <c r="A65" s="21"/>
      <c r="B65" s="27">
        <v>4210</v>
      </c>
      <c r="C65" s="18" t="s">
        <v>14</v>
      </c>
      <c r="D65" s="22"/>
      <c r="E65" s="15">
        <v>-17200</v>
      </c>
    </row>
    <row r="66" spans="1:5" ht="12.75">
      <c r="A66" s="21"/>
      <c r="B66" s="27">
        <v>4240</v>
      </c>
      <c r="C66" s="18" t="s">
        <v>74</v>
      </c>
      <c r="D66" s="22"/>
      <c r="E66" s="15">
        <v>17000</v>
      </c>
    </row>
    <row r="67" spans="1:5" ht="12.75">
      <c r="A67" s="21"/>
      <c r="B67" s="27">
        <v>4260</v>
      </c>
      <c r="C67" s="18" t="s">
        <v>43</v>
      </c>
      <c r="D67" s="22"/>
      <c r="E67" s="15"/>
    </row>
    <row r="68" spans="1:5" ht="12.75">
      <c r="A68" s="21"/>
      <c r="B68" s="27">
        <v>4270</v>
      </c>
      <c r="C68" s="18" t="s">
        <v>24</v>
      </c>
      <c r="D68" s="22"/>
      <c r="E68" s="15"/>
    </row>
    <row r="69" spans="1:5" ht="12.75">
      <c r="A69" s="21"/>
      <c r="B69" s="27">
        <v>4280</v>
      </c>
      <c r="C69" s="18" t="s">
        <v>44</v>
      </c>
      <c r="D69" s="22"/>
      <c r="E69" s="15"/>
    </row>
    <row r="70" spans="1:5" ht="12.75">
      <c r="A70" s="21"/>
      <c r="B70" s="27">
        <v>4300</v>
      </c>
      <c r="C70" s="18" t="s">
        <v>15</v>
      </c>
      <c r="D70" s="22"/>
      <c r="E70" s="15">
        <v>30000</v>
      </c>
    </row>
    <row r="71" spans="1:5" ht="12.75">
      <c r="A71" s="21"/>
      <c r="B71" s="27">
        <v>4350</v>
      </c>
      <c r="C71" s="18" t="s">
        <v>45</v>
      </c>
      <c r="D71" s="22"/>
      <c r="E71" s="15"/>
    </row>
    <row r="72" spans="1:5" ht="25.5">
      <c r="A72" s="21"/>
      <c r="B72" s="27">
        <v>4360</v>
      </c>
      <c r="C72" s="18" t="s">
        <v>46</v>
      </c>
      <c r="D72" s="22"/>
      <c r="E72" s="15"/>
    </row>
    <row r="73" spans="1:5" ht="25.5">
      <c r="A73" s="21"/>
      <c r="B73" s="27">
        <v>4370</v>
      </c>
      <c r="C73" s="18" t="s">
        <v>47</v>
      </c>
      <c r="D73" s="22"/>
      <c r="E73" s="15"/>
    </row>
    <row r="74" spans="1:5" ht="12.75">
      <c r="A74" s="21"/>
      <c r="B74" s="27">
        <v>4410</v>
      </c>
      <c r="C74" s="18" t="s">
        <v>48</v>
      </c>
      <c r="D74" s="22"/>
      <c r="E74" s="15"/>
    </row>
    <row r="75" spans="1:5" ht="12.75">
      <c r="A75" s="21"/>
      <c r="B75" s="27">
        <v>4420</v>
      </c>
      <c r="C75" s="18" t="s">
        <v>49</v>
      </c>
      <c r="D75" s="22"/>
      <c r="E75" s="15"/>
    </row>
    <row r="76" spans="1:5" ht="12.75">
      <c r="A76" s="21"/>
      <c r="B76" s="27">
        <v>4430</v>
      </c>
      <c r="C76" s="18" t="s">
        <v>16</v>
      </c>
      <c r="D76" s="22"/>
      <c r="E76" s="15"/>
    </row>
    <row r="77" spans="1:5" ht="12.75">
      <c r="A77" s="21"/>
      <c r="B77" s="27">
        <v>4440</v>
      </c>
      <c r="C77" s="18" t="s">
        <v>50</v>
      </c>
      <c r="D77" s="22"/>
      <c r="E77" s="15"/>
    </row>
    <row r="78" spans="1:5" ht="12.75">
      <c r="A78" s="21"/>
      <c r="B78" s="27">
        <v>4580</v>
      </c>
      <c r="C78" s="18" t="s">
        <v>140</v>
      </c>
      <c r="D78" s="22"/>
      <c r="E78" s="15">
        <v>100</v>
      </c>
    </row>
    <row r="79" spans="1:5" ht="12.75">
      <c r="A79" s="21"/>
      <c r="B79" s="27">
        <v>4610</v>
      </c>
      <c r="C79" s="18" t="s">
        <v>139</v>
      </c>
      <c r="D79" s="22"/>
      <c r="E79" s="15">
        <v>100</v>
      </c>
    </row>
    <row r="80" spans="1:5" ht="25.5">
      <c r="A80" s="21"/>
      <c r="B80" s="27">
        <v>4700</v>
      </c>
      <c r="C80" s="18" t="s">
        <v>51</v>
      </c>
      <c r="D80" s="22"/>
      <c r="E80" s="15"/>
    </row>
    <row r="81" spans="1:5" ht="25.5">
      <c r="A81" s="21"/>
      <c r="B81" s="27">
        <v>4740</v>
      </c>
      <c r="C81" s="18" t="s">
        <v>52</v>
      </c>
      <c r="D81" s="22"/>
      <c r="E81" s="15"/>
    </row>
    <row r="82" spans="1:5" ht="12.75">
      <c r="A82" s="21"/>
      <c r="B82" s="27">
        <v>4750</v>
      </c>
      <c r="C82" s="18" t="s">
        <v>53</v>
      </c>
      <c r="D82" s="22"/>
      <c r="E82" s="15"/>
    </row>
    <row r="83" spans="1:5" ht="12.75">
      <c r="A83" s="31">
        <v>75075</v>
      </c>
      <c r="B83" s="26"/>
      <c r="C83" s="19" t="s">
        <v>54</v>
      </c>
      <c r="D83" s="20">
        <f>SUM(D84:D85)</f>
        <v>0</v>
      </c>
      <c r="E83" s="15"/>
    </row>
    <row r="84" spans="1:5" ht="12.75">
      <c r="A84" s="31"/>
      <c r="B84" s="27">
        <v>4210</v>
      </c>
      <c r="C84" s="27" t="s">
        <v>14</v>
      </c>
      <c r="D84" s="22"/>
      <c r="E84" s="15"/>
    </row>
    <row r="85" spans="1:5" ht="12.75">
      <c r="A85" s="21"/>
      <c r="B85" s="27">
        <v>4300</v>
      </c>
      <c r="C85" s="18" t="s">
        <v>15</v>
      </c>
      <c r="D85" s="22"/>
      <c r="E85" s="15"/>
    </row>
    <row r="86" spans="1:5" ht="12.75">
      <c r="A86" s="31">
        <v>75095</v>
      </c>
      <c r="B86" s="26"/>
      <c r="C86" s="19" t="s">
        <v>13</v>
      </c>
      <c r="D86" s="20">
        <f>SUM(D87:D95)</f>
        <v>0</v>
      </c>
      <c r="E86" s="15"/>
    </row>
    <row r="87" spans="1:5" ht="12.75">
      <c r="A87" s="21"/>
      <c r="B87" s="27">
        <v>4210</v>
      </c>
      <c r="C87" s="18" t="s">
        <v>14</v>
      </c>
      <c r="D87" s="22"/>
      <c r="E87" s="15"/>
    </row>
    <row r="88" spans="1:5" ht="12.75">
      <c r="A88" s="21"/>
      <c r="B88" s="27">
        <v>4260</v>
      </c>
      <c r="C88" s="18" t="s">
        <v>43</v>
      </c>
      <c r="D88" s="22"/>
      <c r="E88" s="15"/>
    </row>
    <row r="89" spans="1:5" ht="12.75">
      <c r="A89" s="21"/>
      <c r="B89" s="27">
        <v>4270</v>
      </c>
      <c r="C89" s="18" t="s">
        <v>24</v>
      </c>
      <c r="D89" s="22"/>
      <c r="E89" s="15"/>
    </row>
    <row r="90" spans="1:5" ht="12.75">
      <c r="A90" s="21"/>
      <c r="B90" s="27">
        <v>4300</v>
      </c>
      <c r="C90" s="18" t="s">
        <v>15</v>
      </c>
      <c r="D90" s="22"/>
      <c r="E90" s="15"/>
    </row>
    <row r="91" spans="1:5" ht="12.75">
      <c r="A91" s="21"/>
      <c r="B91" s="27">
        <v>4350</v>
      </c>
      <c r="C91" s="18" t="s">
        <v>55</v>
      </c>
      <c r="D91" s="22"/>
      <c r="E91" s="15"/>
    </row>
    <row r="92" spans="1:5" ht="25.5">
      <c r="A92" s="21"/>
      <c r="B92" s="27">
        <v>4370</v>
      </c>
      <c r="C92" s="18" t="s">
        <v>47</v>
      </c>
      <c r="D92" s="22"/>
      <c r="E92" s="15"/>
    </row>
    <row r="93" spans="1:5" ht="25.5">
      <c r="A93" s="21"/>
      <c r="B93" s="27">
        <v>4400</v>
      </c>
      <c r="C93" s="18" t="s">
        <v>56</v>
      </c>
      <c r="D93" s="22"/>
      <c r="E93" s="15"/>
    </row>
    <row r="94" spans="1:5" ht="12.75">
      <c r="A94" s="21"/>
      <c r="B94" s="27">
        <v>4430</v>
      </c>
      <c r="C94" s="18" t="s">
        <v>16</v>
      </c>
      <c r="D94" s="22"/>
      <c r="E94" s="15"/>
    </row>
    <row r="95" spans="1:5" ht="13.5" thickBot="1">
      <c r="A95" s="66"/>
      <c r="B95" s="56">
        <v>4750</v>
      </c>
      <c r="C95" s="57" t="s">
        <v>53</v>
      </c>
      <c r="D95" s="58"/>
      <c r="E95" s="15"/>
    </row>
    <row r="96" spans="1:5" ht="13.5" thickBot="1">
      <c r="A96" s="62">
        <v>754</v>
      </c>
      <c r="B96" s="63"/>
      <c r="C96" s="64" t="s">
        <v>57</v>
      </c>
      <c r="D96" s="65">
        <f>D97+D99+D112+D114</f>
        <v>51700</v>
      </c>
      <c r="E96" s="15"/>
    </row>
    <row r="97" spans="1:5" ht="12.75">
      <c r="A97" s="59">
        <v>75404</v>
      </c>
      <c r="B97" s="60"/>
      <c r="C97" s="61" t="s">
        <v>126</v>
      </c>
      <c r="D97" s="28">
        <f>D98</f>
        <v>0</v>
      </c>
      <c r="E97" s="15"/>
    </row>
    <row r="98" spans="1:5" ht="22.5">
      <c r="A98" s="52"/>
      <c r="B98" s="27">
        <v>6170</v>
      </c>
      <c r="C98" s="44" t="s">
        <v>127</v>
      </c>
      <c r="D98" s="22"/>
      <c r="E98" s="15"/>
    </row>
    <row r="99" spans="1:5" ht="12.75">
      <c r="A99" s="31">
        <v>75412</v>
      </c>
      <c r="B99" s="26"/>
      <c r="C99" s="19" t="s">
        <v>58</v>
      </c>
      <c r="D99" s="20">
        <f>SUM(D100:D111)</f>
        <v>51700</v>
      </c>
      <c r="E99" s="15"/>
    </row>
    <row r="100" spans="1:5" ht="22.5">
      <c r="A100" s="52"/>
      <c r="B100" s="27">
        <v>2820</v>
      </c>
      <c r="C100" s="44" t="s">
        <v>59</v>
      </c>
      <c r="D100" s="22"/>
      <c r="E100" s="76">
        <v>-100000</v>
      </c>
    </row>
    <row r="101" spans="1:5" ht="12.75">
      <c r="A101" s="21"/>
      <c r="B101" s="27">
        <v>3030</v>
      </c>
      <c r="C101" s="18" t="s">
        <v>34</v>
      </c>
      <c r="D101" s="22"/>
      <c r="E101" s="15"/>
    </row>
    <row r="102" spans="1:5" ht="12.75">
      <c r="A102" s="21"/>
      <c r="B102" s="27">
        <v>4110</v>
      </c>
      <c r="C102" s="18" t="s">
        <v>39</v>
      </c>
      <c r="D102" s="22">
        <v>6600</v>
      </c>
      <c r="E102" s="15"/>
    </row>
    <row r="103" spans="1:5" ht="12.75">
      <c r="A103" s="21"/>
      <c r="B103" s="27">
        <v>4120</v>
      </c>
      <c r="C103" s="18" t="s">
        <v>40</v>
      </c>
      <c r="D103" s="22">
        <v>1100</v>
      </c>
      <c r="E103" s="15"/>
    </row>
    <row r="104" spans="1:5" ht="12.75">
      <c r="A104" s="21"/>
      <c r="B104" s="27">
        <v>4170</v>
      </c>
      <c r="C104" s="18" t="s">
        <v>42</v>
      </c>
      <c r="D104" s="22">
        <v>44000</v>
      </c>
      <c r="E104" s="15"/>
    </row>
    <row r="105" spans="1:5" ht="12.75">
      <c r="A105" s="21"/>
      <c r="B105" s="27">
        <v>4210</v>
      </c>
      <c r="C105" s="18" t="s">
        <v>14</v>
      </c>
      <c r="D105" s="22"/>
      <c r="E105" s="15"/>
    </row>
    <row r="106" spans="1:5" ht="12.75">
      <c r="A106" s="21"/>
      <c r="B106" s="27">
        <v>4250</v>
      </c>
      <c r="C106" s="18" t="s">
        <v>60</v>
      </c>
      <c r="D106" s="22"/>
      <c r="E106" s="15"/>
    </row>
    <row r="107" spans="1:5" ht="12.75">
      <c r="A107" s="21"/>
      <c r="B107" s="27">
        <v>4260</v>
      </c>
      <c r="C107" s="18" t="s">
        <v>43</v>
      </c>
      <c r="D107" s="22"/>
      <c r="E107" s="15"/>
    </row>
    <row r="108" spans="1:5" ht="12.75">
      <c r="A108" s="21"/>
      <c r="B108" s="27">
        <v>4270</v>
      </c>
      <c r="C108" s="18" t="s">
        <v>24</v>
      </c>
      <c r="D108" s="22"/>
      <c r="E108" s="15"/>
    </row>
    <row r="109" spans="1:5" ht="12.75">
      <c r="A109" s="21"/>
      <c r="B109" s="27">
        <v>4280</v>
      </c>
      <c r="C109" s="18" t="s">
        <v>44</v>
      </c>
      <c r="D109" s="22"/>
      <c r="E109" s="15"/>
    </row>
    <row r="110" spans="1:5" ht="12.75">
      <c r="A110" s="21"/>
      <c r="B110" s="27">
        <v>4300</v>
      </c>
      <c r="C110" s="18" t="s">
        <v>15</v>
      </c>
      <c r="D110" s="22"/>
      <c r="E110" s="15"/>
    </row>
    <row r="111" spans="1:5" ht="12.75">
      <c r="A111" s="21"/>
      <c r="B111" s="27">
        <v>4430</v>
      </c>
      <c r="C111" s="18" t="s">
        <v>16</v>
      </c>
      <c r="D111" s="22"/>
      <c r="E111" s="15"/>
    </row>
    <row r="112" spans="1:5" ht="12.75">
      <c r="A112" s="31">
        <v>75421</v>
      </c>
      <c r="B112" s="26"/>
      <c r="C112" s="19" t="s">
        <v>62</v>
      </c>
      <c r="D112" s="20">
        <f>SUM(D113)</f>
        <v>0</v>
      </c>
      <c r="E112" s="15"/>
    </row>
    <row r="113" spans="1:5" ht="12.75">
      <c r="A113" s="66"/>
      <c r="B113" s="56">
        <v>4810</v>
      </c>
      <c r="C113" s="57" t="s">
        <v>133</v>
      </c>
      <c r="D113" s="58"/>
      <c r="E113" s="15"/>
    </row>
    <row r="114" spans="1:5" ht="12.75">
      <c r="A114" s="31">
        <v>75495</v>
      </c>
      <c r="B114" s="26"/>
      <c r="C114" s="19" t="s">
        <v>13</v>
      </c>
      <c r="D114" s="20">
        <f>SUM(D115)</f>
        <v>0</v>
      </c>
      <c r="E114" s="15"/>
    </row>
    <row r="115" spans="1:5" ht="13.5" thickBot="1">
      <c r="A115" s="66"/>
      <c r="B115" s="56">
        <v>6050</v>
      </c>
      <c r="C115" s="57" t="s">
        <v>26</v>
      </c>
      <c r="D115" s="58"/>
      <c r="E115" s="15">
        <v>30000</v>
      </c>
    </row>
    <row r="116" spans="1:5" ht="39" thickBot="1">
      <c r="A116" s="62">
        <v>756</v>
      </c>
      <c r="B116" s="63"/>
      <c r="C116" s="64" t="s">
        <v>64</v>
      </c>
      <c r="D116" s="65">
        <f>SUM(D117)</f>
        <v>76200</v>
      </c>
      <c r="E116" s="15"/>
    </row>
    <row r="117" spans="1:5" ht="25.5">
      <c r="A117" s="59">
        <v>75647</v>
      </c>
      <c r="B117" s="60"/>
      <c r="C117" s="61" t="s">
        <v>65</v>
      </c>
      <c r="D117" s="28">
        <f>SUM(D118:D122)</f>
        <v>76200</v>
      </c>
      <c r="E117" s="15"/>
    </row>
    <row r="118" spans="1:5" ht="12.75">
      <c r="A118" s="21"/>
      <c r="B118" s="27">
        <v>4100</v>
      </c>
      <c r="C118" s="18" t="s">
        <v>66</v>
      </c>
      <c r="D118" s="22">
        <v>75000</v>
      </c>
      <c r="E118" s="15"/>
    </row>
    <row r="119" spans="1:5" ht="12.75">
      <c r="A119" s="21"/>
      <c r="B119" s="27">
        <v>4110</v>
      </c>
      <c r="C119" s="18" t="s">
        <v>39</v>
      </c>
      <c r="D119" s="22">
        <v>1000</v>
      </c>
      <c r="E119" s="15"/>
    </row>
    <row r="120" spans="1:5" ht="12.75">
      <c r="A120" s="21"/>
      <c r="B120" s="27">
        <v>4120</v>
      </c>
      <c r="C120" s="18" t="s">
        <v>40</v>
      </c>
      <c r="D120" s="22">
        <v>200</v>
      </c>
      <c r="E120" s="15"/>
    </row>
    <row r="121" spans="1:5" ht="12.75">
      <c r="A121" s="21"/>
      <c r="B121" s="27">
        <v>4210</v>
      </c>
      <c r="C121" s="18" t="s">
        <v>14</v>
      </c>
      <c r="D121" s="22"/>
      <c r="E121" s="15"/>
    </row>
    <row r="122" spans="1:5" ht="13.5" thickBot="1">
      <c r="A122" s="66"/>
      <c r="B122" s="56">
        <v>4300</v>
      </c>
      <c r="C122" s="57" t="s">
        <v>15</v>
      </c>
      <c r="D122" s="58"/>
      <c r="E122" s="15"/>
    </row>
    <row r="123" spans="1:5" ht="13.5" thickBot="1">
      <c r="A123" s="62">
        <v>757</v>
      </c>
      <c r="B123" s="63"/>
      <c r="C123" s="64" t="s">
        <v>67</v>
      </c>
      <c r="D123" s="65">
        <f>D126+D124</f>
        <v>0</v>
      </c>
      <c r="E123" s="15"/>
    </row>
    <row r="124" spans="1:5" ht="25.5">
      <c r="A124" s="59">
        <v>75702</v>
      </c>
      <c r="B124" s="60"/>
      <c r="C124" s="61" t="s">
        <v>68</v>
      </c>
      <c r="D124" s="28">
        <f>SUM(D125:D125)</f>
        <v>0</v>
      </c>
      <c r="E124" s="15"/>
    </row>
    <row r="125" spans="1:5" ht="25.5">
      <c r="A125" s="66"/>
      <c r="B125" s="56">
        <v>8070</v>
      </c>
      <c r="C125" s="57" t="s">
        <v>69</v>
      </c>
      <c r="D125" s="58"/>
      <c r="E125" s="15"/>
    </row>
    <row r="126" spans="1:5" ht="38.25">
      <c r="A126" s="31">
        <v>75704</v>
      </c>
      <c r="B126" s="26"/>
      <c r="C126" s="19" t="s">
        <v>143</v>
      </c>
      <c r="D126" s="20">
        <f>SUM(D127:D127)</f>
        <v>0</v>
      </c>
      <c r="E126" s="15"/>
    </row>
    <row r="127" spans="1:5" ht="13.5" thickBot="1">
      <c r="A127" s="53"/>
      <c r="B127" s="54">
        <v>8020</v>
      </c>
      <c r="C127" s="23" t="s">
        <v>142</v>
      </c>
      <c r="D127" s="24"/>
      <c r="E127" s="15">
        <v>19643</v>
      </c>
    </row>
    <row r="128" spans="1:5" ht="13.5" thickBot="1">
      <c r="A128" s="62">
        <v>758</v>
      </c>
      <c r="B128" s="63"/>
      <c r="C128" s="64" t="s">
        <v>70</v>
      </c>
      <c r="D128" s="65">
        <f>SUM(D129)</f>
        <v>0</v>
      </c>
      <c r="E128" s="15"/>
    </row>
    <row r="129" spans="1:5" ht="12.75">
      <c r="A129" s="59">
        <v>75818</v>
      </c>
      <c r="B129" s="60"/>
      <c r="C129" s="61" t="s">
        <v>63</v>
      </c>
      <c r="D129" s="28">
        <f>SUM(D130)</f>
        <v>0</v>
      </c>
      <c r="E129" s="15"/>
    </row>
    <row r="130" spans="1:5" ht="13.5" thickBot="1">
      <c r="A130" s="66"/>
      <c r="B130" s="56">
        <v>4810</v>
      </c>
      <c r="C130" s="57" t="s">
        <v>133</v>
      </c>
      <c r="D130" s="58"/>
      <c r="E130" s="15"/>
    </row>
    <row r="131" spans="1:5" ht="13.5" thickBot="1">
      <c r="A131" s="62">
        <v>801</v>
      </c>
      <c r="B131" s="63"/>
      <c r="C131" s="64" t="s">
        <v>71</v>
      </c>
      <c r="D131" s="65">
        <f>SUM(D132,D154,D168,D193,D215,D229,D249,D253,D269)</f>
        <v>8146737</v>
      </c>
      <c r="E131" s="15"/>
    </row>
    <row r="132" spans="1:5" ht="12.75">
      <c r="A132" s="59">
        <v>80101</v>
      </c>
      <c r="B132" s="60"/>
      <c r="C132" s="61" t="s">
        <v>72</v>
      </c>
      <c r="D132" s="28">
        <f>SUM(D133:D153)</f>
        <v>4376589</v>
      </c>
      <c r="E132" s="15"/>
    </row>
    <row r="133" spans="1:5" ht="12.75">
      <c r="A133" s="21"/>
      <c r="B133" s="27">
        <v>3020</v>
      </c>
      <c r="C133" s="18" t="s">
        <v>73</v>
      </c>
      <c r="D133" s="22"/>
      <c r="E133" s="15"/>
    </row>
    <row r="134" spans="1:5" ht="12.75">
      <c r="A134" s="21"/>
      <c r="B134" s="27">
        <v>4010</v>
      </c>
      <c r="C134" s="18" t="s">
        <v>37</v>
      </c>
      <c r="D134" s="22">
        <v>3415961</v>
      </c>
      <c r="E134" s="15">
        <v>-44500</v>
      </c>
    </row>
    <row r="135" spans="1:5" ht="12.75">
      <c r="A135" s="21"/>
      <c r="B135" s="27">
        <v>4040</v>
      </c>
      <c r="C135" s="18" t="s">
        <v>38</v>
      </c>
      <c r="D135" s="22">
        <v>270240</v>
      </c>
      <c r="E135" s="15"/>
    </row>
    <row r="136" spans="1:5" ht="12.75">
      <c r="A136" s="21"/>
      <c r="B136" s="27">
        <v>4110</v>
      </c>
      <c r="C136" s="18" t="s">
        <v>39</v>
      </c>
      <c r="D136" s="22">
        <v>583654</v>
      </c>
      <c r="E136" s="15">
        <v>-7560</v>
      </c>
    </row>
    <row r="137" spans="1:5" ht="12.75">
      <c r="A137" s="21"/>
      <c r="B137" s="27">
        <v>4120</v>
      </c>
      <c r="C137" s="18" t="s">
        <v>40</v>
      </c>
      <c r="D137" s="22">
        <v>93134</v>
      </c>
      <c r="E137" s="15">
        <f>-1185-255</f>
        <v>-1440</v>
      </c>
    </row>
    <row r="138" spans="1:5" ht="12.75">
      <c r="A138" s="21"/>
      <c r="B138" s="27">
        <v>4170</v>
      </c>
      <c r="C138" s="18" t="s">
        <v>42</v>
      </c>
      <c r="D138" s="22">
        <v>13600</v>
      </c>
      <c r="E138" s="15"/>
    </row>
    <row r="139" spans="1:5" ht="12.75">
      <c r="A139" s="21"/>
      <c r="B139" s="27">
        <v>4210</v>
      </c>
      <c r="C139" s="18" t="s">
        <v>14</v>
      </c>
      <c r="D139" s="22"/>
      <c r="E139" s="15"/>
    </row>
    <row r="140" spans="1:5" ht="12.75">
      <c r="A140" s="21"/>
      <c r="B140" s="27">
        <v>4240</v>
      </c>
      <c r="C140" s="18" t="s">
        <v>74</v>
      </c>
      <c r="D140" s="22"/>
      <c r="E140" s="15"/>
    </row>
    <row r="141" spans="1:5" ht="12.75">
      <c r="A141" s="21"/>
      <c r="B141" s="27">
        <v>4260</v>
      </c>
      <c r="C141" s="18" t="s">
        <v>43</v>
      </c>
      <c r="D141" s="22"/>
      <c r="E141" s="15"/>
    </row>
    <row r="142" spans="1:5" ht="12.75">
      <c r="A142" s="21"/>
      <c r="B142" s="27">
        <v>4270</v>
      </c>
      <c r="C142" s="18" t="s">
        <v>24</v>
      </c>
      <c r="D142" s="22"/>
      <c r="E142" s="15"/>
    </row>
    <row r="143" spans="1:5" ht="12.75">
      <c r="A143" s="21"/>
      <c r="B143" s="27">
        <v>4280</v>
      </c>
      <c r="C143" s="18" t="s">
        <v>44</v>
      </c>
      <c r="D143" s="22"/>
      <c r="E143" s="15"/>
    </row>
    <row r="144" spans="1:5" ht="12.75">
      <c r="A144" s="21"/>
      <c r="B144" s="27">
        <v>4300</v>
      </c>
      <c r="C144" s="18" t="s">
        <v>15</v>
      </c>
      <c r="D144" s="22"/>
      <c r="E144" s="15"/>
    </row>
    <row r="145" spans="1:5" ht="12.75">
      <c r="A145" s="21"/>
      <c r="B145" s="27">
        <v>4350</v>
      </c>
      <c r="C145" s="18" t="s">
        <v>45</v>
      </c>
      <c r="D145" s="22"/>
      <c r="E145" s="15"/>
    </row>
    <row r="146" spans="1:5" ht="25.5">
      <c r="A146" s="21"/>
      <c r="B146" s="27">
        <v>4360</v>
      </c>
      <c r="C146" s="18" t="s">
        <v>46</v>
      </c>
      <c r="D146" s="22"/>
      <c r="E146" s="15"/>
    </row>
    <row r="147" spans="1:5" ht="25.5">
      <c r="A147" s="21"/>
      <c r="B147" s="27">
        <v>4370</v>
      </c>
      <c r="C147" s="18" t="s">
        <v>47</v>
      </c>
      <c r="D147" s="22"/>
      <c r="E147" s="15"/>
    </row>
    <row r="148" spans="1:5" ht="12.75">
      <c r="A148" s="21"/>
      <c r="B148" s="27">
        <v>4410</v>
      </c>
      <c r="C148" s="18" t="s">
        <v>48</v>
      </c>
      <c r="D148" s="22"/>
      <c r="E148" s="15"/>
    </row>
    <row r="149" spans="1:5" ht="12.75">
      <c r="A149" s="21"/>
      <c r="B149" s="27">
        <v>4430</v>
      </c>
      <c r="C149" s="18" t="s">
        <v>16</v>
      </c>
      <c r="D149" s="22"/>
      <c r="E149" s="15"/>
    </row>
    <row r="150" spans="1:5" ht="12.75">
      <c r="A150" s="21"/>
      <c r="B150" s="27">
        <v>4440</v>
      </c>
      <c r="C150" s="18" t="s">
        <v>50</v>
      </c>
      <c r="D150" s="22"/>
      <c r="E150" s="15"/>
    </row>
    <row r="151" spans="1:5" ht="25.5">
      <c r="A151" s="21"/>
      <c r="B151" s="27">
        <v>4740</v>
      </c>
      <c r="C151" s="18" t="s">
        <v>52</v>
      </c>
      <c r="D151" s="22"/>
      <c r="E151" s="15"/>
    </row>
    <row r="152" spans="1:5" ht="12.75">
      <c r="A152" s="21"/>
      <c r="B152" s="27">
        <v>4750</v>
      </c>
      <c r="C152" s="18" t="s">
        <v>53</v>
      </c>
      <c r="D152" s="22"/>
      <c r="E152" s="15"/>
    </row>
    <row r="153" spans="1:5" ht="12.75">
      <c r="A153" s="21"/>
      <c r="B153" s="27">
        <v>6050</v>
      </c>
      <c r="C153" s="18" t="s">
        <v>61</v>
      </c>
      <c r="D153" s="22"/>
      <c r="E153" s="15"/>
    </row>
    <row r="154" spans="1:5" ht="12.75">
      <c r="A154" s="31">
        <v>80103</v>
      </c>
      <c r="B154" s="26"/>
      <c r="C154" s="19" t="s">
        <v>75</v>
      </c>
      <c r="D154" s="20">
        <f>SUM(D155:D167)</f>
        <v>202229</v>
      </c>
      <c r="E154" s="15"/>
    </row>
    <row r="155" spans="1:5" ht="12.75">
      <c r="A155" s="31"/>
      <c r="B155" s="27">
        <v>3020</v>
      </c>
      <c r="C155" s="18" t="s">
        <v>73</v>
      </c>
      <c r="D155" s="22"/>
      <c r="E155" s="15"/>
    </row>
    <row r="156" spans="1:5" ht="12.75">
      <c r="A156" s="31"/>
      <c r="B156" s="27">
        <v>4010</v>
      </c>
      <c r="C156" s="18" t="s">
        <v>37</v>
      </c>
      <c r="D156" s="22">
        <v>156187</v>
      </c>
      <c r="E156" s="15">
        <v>-1500</v>
      </c>
    </row>
    <row r="157" spans="1:5" ht="12.75">
      <c r="A157" s="31"/>
      <c r="B157" s="27">
        <v>4040</v>
      </c>
      <c r="C157" s="18" t="s">
        <v>38</v>
      </c>
      <c r="D157" s="22">
        <v>12046</v>
      </c>
      <c r="E157" s="15"/>
    </row>
    <row r="158" spans="1:5" ht="12.75">
      <c r="A158" s="31"/>
      <c r="B158" s="27">
        <v>4110</v>
      </c>
      <c r="C158" s="18" t="s">
        <v>39</v>
      </c>
      <c r="D158" s="22">
        <v>29322</v>
      </c>
      <c r="E158" s="15"/>
    </row>
    <row r="159" spans="1:5" ht="12.75">
      <c r="A159" s="31"/>
      <c r="B159" s="27">
        <v>4120</v>
      </c>
      <c r="C159" s="18" t="s">
        <v>40</v>
      </c>
      <c r="D159" s="22">
        <v>4674</v>
      </c>
      <c r="E159" s="15"/>
    </row>
    <row r="160" spans="1:5" ht="12.75">
      <c r="A160" s="31"/>
      <c r="B160" s="27">
        <v>4210</v>
      </c>
      <c r="C160" s="18" t="s">
        <v>14</v>
      </c>
      <c r="D160" s="22"/>
      <c r="E160" s="15"/>
    </row>
    <row r="161" spans="1:5" ht="12.75">
      <c r="A161" s="31"/>
      <c r="B161" s="27">
        <v>4240</v>
      </c>
      <c r="C161" s="18" t="s">
        <v>74</v>
      </c>
      <c r="D161" s="22"/>
      <c r="E161" s="15"/>
    </row>
    <row r="162" spans="1:5" ht="12.75">
      <c r="A162" s="31"/>
      <c r="B162" s="27">
        <v>4270</v>
      </c>
      <c r="C162" s="18" t="s">
        <v>24</v>
      </c>
      <c r="D162" s="22"/>
      <c r="E162" s="15"/>
    </row>
    <row r="163" spans="1:5" ht="12.75">
      <c r="A163" s="31"/>
      <c r="B163" s="27">
        <v>4280</v>
      </c>
      <c r="C163" s="18" t="s">
        <v>44</v>
      </c>
      <c r="D163" s="22"/>
      <c r="E163" s="15"/>
    </row>
    <row r="164" spans="1:5" ht="12.75">
      <c r="A164" s="31"/>
      <c r="B164" s="27">
        <v>4300</v>
      </c>
      <c r="C164" s="18" t="s">
        <v>15</v>
      </c>
      <c r="D164" s="22"/>
      <c r="E164" s="15"/>
    </row>
    <row r="165" spans="1:5" ht="12.75">
      <c r="A165" s="21"/>
      <c r="B165" s="27">
        <v>4410</v>
      </c>
      <c r="C165" s="18" t="s">
        <v>48</v>
      </c>
      <c r="D165" s="22"/>
      <c r="E165" s="15"/>
    </row>
    <row r="166" spans="1:5" ht="12.75">
      <c r="A166" s="21"/>
      <c r="B166" s="27">
        <v>4440</v>
      </c>
      <c r="C166" s="18" t="s">
        <v>50</v>
      </c>
      <c r="D166" s="22"/>
      <c r="E166" s="15"/>
    </row>
    <row r="167" spans="1:5" ht="25.5">
      <c r="A167" s="21"/>
      <c r="B167" s="27">
        <v>4740</v>
      </c>
      <c r="C167" s="18" t="s">
        <v>52</v>
      </c>
      <c r="D167" s="22"/>
      <c r="E167" s="15"/>
    </row>
    <row r="168" spans="1:5" ht="12.75">
      <c r="A168" s="31">
        <v>80104</v>
      </c>
      <c r="B168" s="26"/>
      <c r="C168" s="19" t="s">
        <v>77</v>
      </c>
      <c r="D168" s="20">
        <f>SUM(D169:D192)</f>
        <v>825554</v>
      </c>
      <c r="E168" s="15"/>
    </row>
    <row r="169" spans="1:5" ht="33.75">
      <c r="A169" s="31"/>
      <c r="B169" s="27">
        <v>2310</v>
      </c>
      <c r="C169" s="44" t="s">
        <v>20</v>
      </c>
      <c r="D169" s="22"/>
      <c r="E169" s="15"/>
    </row>
    <row r="170" spans="1:5" ht="12.75">
      <c r="A170" s="21"/>
      <c r="B170" s="27">
        <v>3020</v>
      </c>
      <c r="C170" s="18" t="s">
        <v>73</v>
      </c>
      <c r="D170" s="22"/>
      <c r="E170" s="15"/>
    </row>
    <row r="171" spans="1:5" ht="12.75">
      <c r="A171" s="21"/>
      <c r="B171" s="27">
        <v>4010</v>
      </c>
      <c r="C171" s="18" t="s">
        <v>37</v>
      </c>
      <c r="D171" s="22">
        <v>645624</v>
      </c>
      <c r="E171" s="15">
        <v>-6500</v>
      </c>
    </row>
    <row r="172" spans="1:5" ht="12.75">
      <c r="A172" s="21"/>
      <c r="B172" s="27">
        <v>4040</v>
      </c>
      <c r="C172" s="18" t="s">
        <v>38</v>
      </c>
      <c r="D172" s="22">
        <v>49137</v>
      </c>
      <c r="E172" s="15"/>
    </row>
    <row r="173" spans="1:5" ht="12.75">
      <c r="A173" s="21"/>
      <c r="B173" s="27">
        <v>4110</v>
      </c>
      <c r="C173" s="18" t="s">
        <v>39</v>
      </c>
      <c r="D173" s="22">
        <v>110783</v>
      </c>
      <c r="E173" s="15">
        <v>-1105</v>
      </c>
    </row>
    <row r="174" spans="1:5" ht="12.75">
      <c r="A174" s="21"/>
      <c r="B174" s="27">
        <v>4120</v>
      </c>
      <c r="C174" s="18" t="s">
        <v>40</v>
      </c>
      <c r="D174" s="22">
        <v>18010</v>
      </c>
      <c r="E174" s="15"/>
    </row>
    <row r="175" spans="1:5" ht="12.75">
      <c r="A175" s="21"/>
      <c r="B175" s="27">
        <v>4170</v>
      </c>
      <c r="C175" s="18" t="s">
        <v>42</v>
      </c>
      <c r="D175" s="22">
        <v>2000</v>
      </c>
      <c r="E175" s="15"/>
    </row>
    <row r="176" spans="1:5" ht="12.75">
      <c r="A176" s="21"/>
      <c r="B176" s="27">
        <v>4210</v>
      </c>
      <c r="C176" s="18" t="s">
        <v>14</v>
      </c>
      <c r="D176" s="22"/>
      <c r="E176" s="15"/>
    </row>
    <row r="177" spans="1:5" ht="12.75">
      <c r="A177" s="21"/>
      <c r="B177" s="27">
        <v>4220</v>
      </c>
      <c r="C177" s="18" t="s">
        <v>78</v>
      </c>
      <c r="D177" s="22"/>
      <c r="E177" s="15"/>
    </row>
    <row r="178" spans="1:5" ht="12.75">
      <c r="A178" s="21"/>
      <c r="B178" s="27">
        <v>4240</v>
      </c>
      <c r="C178" s="18" t="s">
        <v>76</v>
      </c>
      <c r="D178" s="22"/>
      <c r="E178" s="15"/>
    </row>
    <row r="179" spans="1:5" ht="12.75">
      <c r="A179" s="21"/>
      <c r="B179" s="27">
        <v>4260</v>
      </c>
      <c r="C179" s="18" t="s">
        <v>43</v>
      </c>
      <c r="D179" s="22"/>
      <c r="E179" s="15"/>
    </row>
    <row r="180" spans="1:5" ht="12.75">
      <c r="A180" s="21"/>
      <c r="B180" s="27">
        <v>4270</v>
      </c>
      <c r="C180" s="18" t="s">
        <v>24</v>
      </c>
      <c r="D180" s="22"/>
      <c r="E180" s="15"/>
    </row>
    <row r="181" spans="1:5" ht="12.75">
      <c r="A181" s="21"/>
      <c r="B181" s="27">
        <v>4280</v>
      </c>
      <c r="C181" s="18" t="s">
        <v>44</v>
      </c>
      <c r="D181" s="22"/>
      <c r="E181" s="15"/>
    </row>
    <row r="182" spans="1:5" ht="12.75">
      <c r="A182" s="21"/>
      <c r="B182" s="27">
        <v>4300</v>
      </c>
      <c r="C182" s="18" t="s">
        <v>15</v>
      </c>
      <c r="D182" s="22"/>
      <c r="E182" s="15"/>
    </row>
    <row r="183" spans="1:5" ht="12.75">
      <c r="A183" s="21"/>
      <c r="B183" s="27">
        <v>4350</v>
      </c>
      <c r="C183" s="18" t="s">
        <v>45</v>
      </c>
      <c r="D183" s="22"/>
      <c r="E183" s="15"/>
    </row>
    <row r="184" spans="1:5" ht="25.5">
      <c r="A184" s="21"/>
      <c r="B184" s="27">
        <v>4370</v>
      </c>
      <c r="C184" s="18" t="s">
        <v>47</v>
      </c>
      <c r="D184" s="22"/>
      <c r="E184" s="15"/>
    </row>
    <row r="185" spans="1:5" ht="12.75">
      <c r="A185" s="21"/>
      <c r="B185" s="27">
        <v>4390</v>
      </c>
      <c r="C185" s="18" t="s">
        <v>79</v>
      </c>
      <c r="D185" s="22"/>
      <c r="E185" s="15"/>
    </row>
    <row r="186" spans="1:5" ht="12.75">
      <c r="A186" s="21"/>
      <c r="B186" s="27">
        <v>4410</v>
      </c>
      <c r="C186" s="18" t="s">
        <v>48</v>
      </c>
      <c r="D186" s="22"/>
      <c r="E186" s="15"/>
    </row>
    <row r="187" spans="1:5" ht="12.75">
      <c r="A187" s="21"/>
      <c r="B187" s="27">
        <v>4430</v>
      </c>
      <c r="C187" s="18" t="s">
        <v>16</v>
      </c>
      <c r="D187" s="22"/>
      <c r="E187" s="15"/>
    </row>
    <row r="188" spans="1:5" ht="12.75">
      <c r="A188" s="21"/>
      <c r="B188" s="27">
        <v>4440</v>
      </c>
      <c r="C188" s="18" t="s">
        <v>50</v>
      </c>
      <c r="D188" s="22"/>
      <c r="E188" s="15"/>
    </row>
    <row r="189" spans="1:5" ht="25.5">
      <c r="A189" s="21"/>
      <c r="B189" s="27">
        <v>4740</v>
      </c>
      <c r="C189" s="18" t="s">
        <v>52</v>
      </c>
      <c r="D189" s="22"/>
      <c r="E189" s="15"/>
    </row>
    <row r="190" spans="1:5" ht="12.75">
      <c r="A190" s="21"/>
      <c r="B190" s="27">
        <v>4750</v>
      </c>
      <c r="C190" s="18" t="s">
        <v>53</v>
      </c>
      <c r="D190" s="22"/>
      <c r="E190" s="15"/>
    </row>
    <row r="191" spans="1:5" ht="12.75">
      <c r="A191" s="21"/>
      <c r="B191" s="27">
        <v>6050</v>
      </c>
      <c r="C191" s="18" t="s">
        <v>26</v>
      </c>
      <c r="D191" s="22"/>
      <c r="E191" s="15"/>
    </row>
    <row r="192" spans="1:5" ht="12.75">
      <c r="A192" s="21"/>
      <c r="B192" s="27">
        <v>6060</v>
      </c>
      <c r="C192" s="18" t="s">
        <v>61</v>
      </c>
      <c r="D192" s="22"/>
      <c r="E192" s="15"/>
    </row>
    <row r="193" spans="1:5" ht="12.75">
      <c r="A193" s="31">
        <v>80110</v>
      </c>
      <c r="B193" s="26"/>
      <c r="C193" s="19" t="s">
        <v>80</v>
      </c>
      <c r="D193" s="20">
        <f>SUM(D194:D214)</f>
        <v>2288852</v>
      </c>
      <c r="E193" s="15"/>
    </row>
    <row r="194" spans="1:5" ht="12.75">
      <c r="A194" s="21"/>
      <c r="B194" s="27">
        <v>3020</v>
      </c>
      <c r="C194" s="18" t="s">
        <v>73</v>
      </c>
      <c r="D194" s="22"/>
      <c r="E194" s="15"/>
    </row>
    <row r="195" spans="1:5" ht="12.75">
      <c r="A195" s="21"/>
      <c r="B195" s="27">
        <v>4010</v>
      </c>
      <c r="C195" s="18" t="s">
        <v>37</v>
      </c>
      <c r="D195" s="22">
        <v>1800857</v>
      </c>
      <c r="E195" s="15">
        <v>-47500</v>
      </c>
    </row>
    <row r="196" spans="1:5" ht="12.75">
      <c r="A196" s="21"/>
      <c r="B196" s="27">
        <v>4040</v>
      </c>
      <c r="C196" s="18" t="s">
        <v>38</v>
      </c>
      <c r="D196" s="22">
        <v>134000</v>
      </c>
      <c r="E196" s="15"/>
    </row>
    <row r="197" spans="1:5" ht="12.75">
      <c r="A197" s="21"/>
      <c r="B197" s="27">
        <v>4110</v>
      </c>
      <c r="C197" s="18" t="s">
        <v>39</v>
      </c>
      <c r="D197" s="22">
        <v>302468</v>
      </c>
      <c r="E197" s="15">
        <v>-8075</v>
      </c>
    </row>
    <row r="198" spans="1:5" ht="12.75">
      <c r="A198" s="21"/>
      <c r="B198" s="27">
        <v>4120</v>
      </c>
      <c r="C198" s="18" t="s">
        <v>40</v>
      </c>
      <c r="D198" s="22">
        <v>49879</v>
      </c>
      <c r="E198" s="15">
        <v>-1463</v>
      </c>
    </row>
    <row r="199" spans="1:5" ht="12.75">
      <c r="A199" s="21"/>
      <c r="B199" s="27">
        <v>4170</v>
      </c>
      <c r="C199" s="18" t="s">
        <v>42</v>
      </c>
      <c r="D199" s="22">
        <v>1648</v>
      </c>
      <c r="E199" s="15"/>
    </row>
    <row r="200" spans="1:5" ht="12.75">
      <c r="A200" s="21"/>
      <c r="B200" s="27">
        <v>4210</v>
      </c>
      <c r="C200" s="18" t="s">
        <v>14</v>
      </c>
      <c r="D200" s="22"/>
      <c r="E200" s="15"/>
    </row>
    <row r="201" spans="1:5" ht="12.75">
      <c r="A201" s="21"/>
      <c r="B201" s="27">
        <v>4240</v>
      </c>
      <c r="C201" s="18" t="s">
        <v>76</v>
      </c>
      <c r="D201" s="22"/>
      <c r="E201" s="15">
        <v>10000</v>
      </c>
    </row>
    <row r="202" spans="1:5" ht="12.75">
      <c r="A202" s="21"/>
      <c r="B202" s="27">
        <v>4260</v>
      </c>
      <c r="C202" s="18" t="s">
        <v>43</v>
      </c>
      <c r="D202" s="22"/>
      <c r="E202" s="15"/>
    </row>
    <row r="203" spans="1:5" ht="12.75">
      <c r="A203" s="21"/>
      <c r="B203" s="27">
        <v>4270</v>
      </c>
      <c r="C203" s="18" t="s">
        <v>24</v>
      </c>
      <c r="D203" s="22"/>
      <c r="E203" s="15"/>
    </row>
    <row r="204" spans="1:5" ht="12.75">
      <c r="A204" s="21"/>
      <c r="B204" s="27">
        <v>4280</v>
      </c>
      <c r="C204" s="18" t="s">
        <v>44</v>
      </c>
      <c r="D204" s="22"/>
      <c r="E204" s="15"/>
    </row>
    <row r="205" spans="1:5" ht="12.75">
      <c r="A205" s="21"/>
      <c r="B205" s="27">
        <v>4300</v>
      </c>
      <c r="C205" s="18" t="s">
        <v>15</v>
      </c>
      <c r="D205" s="22"/>
      <c r="E205" s="15"/>
    </row>
    <row r="206" spans="1:5" ht="12.75">
      <c r="A206" s="21"/>
      <c r="B206" s="27">
        <v>4350</v>
      </c>
      <c r="C206" s="18" t="s">
        <v>45</v>
      </c>
      <c r="D206" s="22"/>
      <c r="E206" s="15"/>
    </row>
    <row r="207" spans="1:5" ht="25.5">
      <c r="A207" s="21"/>
      <c r="B207" s="27">
        <v>4360</v>
      </c>
      <c r="C207" s="18" t="s">
        <v>46</v>
      </c>
      <c r="D207" s="22"/>
      <c r="E207" s="15"/>
    </row>
    <row r="208" spans="1:5" ht="25.5">
      <c r="A208" s="21"/>
      <c r="B208" s="27">
        <v>4370</v>
      </c>
      <c r="C208" s="18" t="s">
        <v>47</v>
      </c>
      <c r="D208" s="22"/>
      <c r="E208" s="15"/>
    </row>
    <row r="209" spans="1:5" ht="12.75">
      <c r="A209" s="21"/>
      <c r="B209" s="27">
        <v>4410</v>
      </c>
      <c r="C209" s="18" t="s">
        <v>48</v>
      </c>
      <c r="D209" s="22"/>
      <c r="E209" s="15"/>
    </row>
    <row r="210" spans="1:5" ht="12.75">
      <c r="A210" s="21"/>
      <c r="B210" s="27">
        <v>4430</v>
      </c>
      <c r="C210" s="18" t="s">
        <v>16</v>
      </c>
      <c r="D210" s="22"/>
      <c r="E210" s="15"/>
    </row>
    <row r="211" spans="1:5" ht="12.75">
      <c r="A211" s="21"/>
      <c r="B211" s="27">
        <v>4440</v>
      </c>
      <c r="C211" s="18" t="s">
        <v>50</v>
      </c>
      <c r="D211" s="22"/>
      <c r="E211" s="15"/>
    </row>
    <row r="212" spans="1:5" ht="25.5">
      <c r="A212" s="21"/>
      <c r="B212" s="27">
        <v>4740</v>
      </c>
      <c r="C212" s="18" t="s">
        <v>52</v>
      </c>
      <c r="D212" s="22"/>
      <c r="E212" s="15"/>
    </row>
    <row r="213" spans="1:5" ht="12.75">
      <c r="A213" s="21"/>
      <c r="B213" s="27">
        <v>4750</v>
      </c>
      <c r="C213" s="18" t="s">
        <v>53</v>
      </c>
      <c r="D213" s="22"/>
      <c r="E213" s="15"/>
    </row>
    <row r="214" spans="1:5" ht="12.75">
      <c r="A214" s="21"/>
      <c r="B214" s="27">
        <v>6060</v>
      </c>
      <c r="C214" s="18" t="s">
        <v>61</v>
      </c>
      <c r="D214" s="22"/>
      <c r="E214" s="15"/>
    </row>
    <row r="215" spans="1:5" ht="12.75">
      <c r="A215" s="31">
        <v>80113</v>
      </c>
      <c r="B215" s="26"/>
      <c r="C215" s="19" t="s">
        <v>81</v>
      </c>
      <c r="D215" s="20">
        <f>SUM(D216:D228)</f>
        <v>61799</v>
      </c>
      <c r="E215" s="15"/>
    </row>
    <row r="216" spans="1:5" ht="12.75">
      <c r="A216" s="31"/>
      <c r="B216" s="27">
        <v>3020</v>
      </c>
      <c r="C216" s="18" t="s">
        <v>73</v>
      </c>
      <c r="D216" s="22"/>
      <c r="E216" s="15"/>
    </row>
    <row r="217" spans="1:5" ht="12.75">
      <c r="A217" s="21"/>
      <c r="B217" s="27">
        <v>4010</v>
      </c>
      <c r="C217" s="18" t="s">
        <v>37</v>
      </c>
      <c r="D217" s="22">
        <v>48476</v>
      </c>
      <c r="E217" s="15"/>
    </row>
    <row r="218" spans="1:5" ht="12.75">
      <c r="A218" s="21"/>
      <c r="B218" s="27">
        <v>4040</v>
      </c>
      <c r="C218" s="18" t="s">
        <v>38</v>
      </c>
      <c r="D218" s="22">
        <v>3670</v>
      </c>
      <c r="E218" s="15"/>
    </row>
    <row r="219" spans="1:5" ht="12.75">
      <c r="A219" s="21"/>
      <c r="B219" s="27">
        <v>4110</v>
      </c>
      <c r="C219" s="18" t="s">
        <v>39</v>
      </c>
      <c r="D219" s="22">
        <v>8375</v>
      </c>
      <c r="E219" s="15"/>
    </row>
    <row r="220" spans="1:5" ht="12.75">
      <c r="A220" s="21"/>
      <c r="B220" s="27">
        <v>4120</v>
      </c>
      <c r="C220" s="18" t="s">
        <v>40</v>
      </c>
      <c r="D220" s="22">
        <v>1278</v>
      </c>
      <c r="E220" s="15"/>
    </row>
    <row r="221" spans="1:5" ht="12.75">
      <c r="A221" s="21"/>
      <c r="B221" s="27">
        <v>4210</v>
      </c>
      <c r="C221" s="18" t="s">
        <v>14</v>
      </c>
      <c r="D221" s="22"/>
      <c r="E221" s="15"/>
    </row>
    <row r="222" spans="1:5" ht="12.75">
      <c r="A222" s="21"/>
      <c r="B222" s="27">
        <v>4270</v>
      </c>
      <c r="C222" s="18" t="s">
        <v>24</v>
      </c>
      <c r="D222" s="22"/>
      <c r="E222" s="15"/>
    </row>
    <row r="223" spans="1:5" ht="12.75">
      <c r="A223" s="21"/>
      <c r="B223" s="27">
        <v>4280</v>
      </c>
      <c r="C223" s="18" t="s">
        <v>44</v>
      </c>
      <c r="D223" s="22"/>
      <c r="E223" s="15"/>
    </row>
    <row r="224" spans="1:5" ht="12.75">
      <c r="A224" s="21"/>
      <c r="B224" s="27">
        <v>4300</v>
      </c>
      <c r="C224" s="18" t="s">
        <v>15</v>
      </c>
      <c r="D224" s="22"/>
      <c r="E224" s="15">
        <v>-55000</v>
      </c>
    </row>
    <row r="225" spans="1:5" ht="25.5">
      <c r="A225" s="21"/>
      <c r="B225" s="27">
        <v>4360</v>
      </c>
      <c r="C225" s="18" t="s">
        <v>46</v>
      </c>
      <c r="D225" s="22"/>
      <c r="E225" s="15"/>
    </row>
    <row r="226" spans="1:5" ht="12.75">
      <c r="A226" s="21"/>
      <c r="B226" s="27">
        <v>4410</v>
      </c>
      <c r="C226" s="27" t="s">
        <v>48</v>
      </c>
      <c r="D226" s="22"/>
      <c r="E226" s="15"/>
    </row>
    <row r="227" spans="1:5" ht="12.75">
      <c r="A227" s="21"/>
      <c r="B227" s="27">
        <v>4430</v>
      </c>
      <c r="C227" s="18" t="s">
        <v>16</v>
      </c>
      <c r="D227" s="22"/>
      <c r="E227" s="15"/>
    </row>
    <row r="228" spans="1:5" ht="12.75">
      <c r="A228" s="21"/>
      <c r="B228" s="27">
        <v>4440</v>
      </c>
      <c r="C228" s="18" t="s">
        <v>50</v>
      </c>
      <c r="D228" s="22"/>
      <c r="E228" s="15"/>
    </row>
    <row r="229" spans="1:5" ht="12.75">
      <c r="A229" s="31">
        <v>80114</v>
      </c>
      <c r="B229" s="26"/>
      <c r="C229" s="19" t="s">
        <v>82</v>
      </c>
      <c r="D229" s="20">
        <f>SUM(D230:D248)</f>
        <v>277067</v>
      </c>
      <c r="E229" s="15"/>
    </row>
    <row r="230" spans="1:5" ht="12.75">
      <c r="A230" s="31"/>
      <c r="B230" s="27">
        <v>3020</v>
      </c>
      <c r="C230" s="18" t="s">
        <v>73</v>
      </c>
      <c r="D230" s="22"/>
      <c r="E230" s="15"/>
    </row>
    <row r="231" spans="1:5" ht="12.75">
      <c r="A231" s="21"/>
      <c r="B231" s="27">
        <v>4010</v>
      </c>
      <c r="C231" s="18" t="s">
        <v>37</v>
      </c>
      <c r="D231" s="22">
        <v>213553</v>
      </c>
      <c r="E231" s="15"/>
    </row>
    <row r="232" spans="1:5" ht="12.75">
      <c r="A232" s="21"/>
      <c r="B232" s="27">
        <v>4040</v>
      </c>
      <c r="C232" s="18" t="s">
        <v>38</v>
      </c>
      <c r="D232" s="22">
        <v>16300</v>
      </c>
      <c r="E232" s="15"/>
    </row>
    <row r="233" spans="1:5" ht="12.75">
      <c r="A233" s="21"/>
      <c r="B233" s="27">
        <v>4110</v>
      </c>
      <c r="C233" s="18" t="s">
        <v>39</v>
      </c>
      <c r="D233" s="22">
        <v>36626</v>
      </c>
      <c r="E233" s="15"/>
    </row>
    <row r="234" spans="1:5" ht="12.75">
      <c r="A234" s="21"/>
      <c r="B234" s="27">
        <v>4120</v>
      </c>
      <c r="C234" s="18" t="s">
        <v>40</v>
      </c>
      <c r="D234" s="22">
        <v>5588</v>
      </c>
      <c r="E234" s="15"/>
    </row>
    <row r="235" spans="1:5" ht="12.75">
      <c r="A235" s="21"/>
      <c r="B235" s="27">
        <v>4170</v>
      </c>
      <c r="C235" s="18" t="s">
        <v>42</v>
      </c>
      <c r="D235" s="22">
        <v>5000</v>
      </c>
      <c r="E235" s="15"/>
    </row>
    <row r="236" spans="1:5" ht="12.75">
      <c r="A236" s="21"/>
      <c r="B236" s="27">
        <v>4210</v>
      </c>
      <c r="C236" s="18" t="s">
        <v>14</v>
      </c>
      <c r="D236" s="22"/>
      <c r="E236" s="15"/>
    </row>
    <row r="237" spans="1:5" ht="12.75">
      <c r="A237" s="21"/>
      <c r="B237" s="27">
        <v>4260</v>
      </c>
      <c r="C237" s="18" t="s">
        <v>43</v>
      </c>
      <c r="D237" s="22"/>
      <c r="E237" s="15"/>
    </row>
    <row r="238" spans="1:5" ht="12.75">
      <c r="A238" s="21"/>
      <c r="B238" s="27">
        <v>4270</v>
      </c>
      <c r="C238" s="18" t="s">
        <v>24</v>
      </c>
      <c r="D238" s="22"/>
      <c r="E238" s="15"/>
    </row>
    <row r="239" spans="1:5" ht="12.75">
      <c r="A239" s="21"/>
      <c r="B239" s="27">
        <v>4280</v>
      </c>
      <c r="C239" s="18" t="s">
        <v>44</v>
      </c>
      <c r="D239" s="22"/>
      <c r="E239" s="15"/>
    </row>
    <row r="240" spans="1:5" ht="12.75">
      <c r="A240" s="21"/>
      <c r="B240" s="27">
        <v>4300</v>
      </c>
      <c r="C240" s="18" t="s">
        <v>15</v>
      </c>
      <c r="D240" s="22"/>
      <c r="E240" s="15"/>
    </row>
    <row r="241" spans="1:5" ht="12.75">
      <c r="A241" s="21"/>
      <c r="B241" s="27">
        <v>4350</v>
      </c>
      <c r="C241" s="18" t="s">
        <v>45</v>
      </c>
      <c r="D241" s="22"/>
      <c r="E241" s="15"/>
    </row>
    <row r="242" spans="1:5" ht="25.5">
      <c r="A242" s="21"/>
      <c r="B242" s="27">
        <v>4370</v>
      </c>
      <c r="C242" s="18" t="s">
        <v>47</v>
      </c>
      <c r="D242" s="22"/>
      <c r="E242" s="15"/>
    </row>
    <row r="243" spans="1:5" ht="12.75">
      <c r="A243" s="21"/>
      <c r="B243" s="27">
        <v>4410</v>
      </c>
      <c r="C243" s="18" t="s">
        <v>48</v>
      </c>
      <c r="D243" s="22"/>
      <c r="E243" s="15"/>
    </row>
    <row r="244" spans="1:5" ht="12.75">
      <c r="A244" s="21"/>
      <c r="B244" s="27">
        <v>4430</v>
      </c>
      <c r="C244" s="18" t="s">
        <v>16</v>
      </c>
      <c r="D244" s="22"/>
      <c r="E244" s="15"/>
    </row>
    <row r="245" spans="1:5" ht="12.75">
      <c r="A245" s="21"/>
      <c r="B245" s="27">
        <v>4440</v>
      </c>
      <c r="C245" s="18" t="s">
        <v>50</v>
      </c>
      <c r="D245" s="22"/>
      <c r="E245" s="15"/>
    </row>
    <row r="246" spans="1:5" ht="25.5">
      <c r="A246" s="21"/>
      <c r="B246" s="27">
        <v>4740</v>
      </c>
      <c r="C246" s="18" t="s">
        <v>52</v>
      </c>
      <c r="D246" s="22"/>
      <c r="E246" s="15"/>
    </row>
    <row r="247" spans="1:5" ht="12.75">
      <c r="A247" s="21"/>
      <c r="B247" s="27">
        <v>4750</v>
      </c>
      <c r="C247" s="18" t="s">
        <v>53</v>
      </c>
      <c r="D247" s="22"/>
      <c r="E247" s="15"/>
    </row>
    <row r="248" spans="1:5" ht="12.75">
      <c r="A248" s="21"/>
      <c r="B248" s="27">
        <v>6060</v>
      </c>
      <c r="C248" s="18" t="s">
        <v>61</v>
      </c>
      <c r="D248" s="22"/>
      <c r="E248" s="15"/>
    </row>
    <row r="249" spans="1:5" ht="12.75">
      <c r="A249" s="31">
        <v>80146</v>
      </c>
      <c r="B249" s="26"/>
      <c r="C249" s="19" t="s">
        <v>83</v>
      </c>
      <c r="D249" s="20">
        <f>SUM(D250:D252)</f>
        <v>0</v>
      </c>
      <c r="E249" s="15"/>
    </row>
    <row r="250" spans="1:5" ht="12.75">
      <c r="A250" s="21"/>
      <c r="B250" s="27">
        <v>4210</v>
      </c>
      <c r="C250" s="18" t="s">
        <v>14</v>
      </c>
      <c r="D250" s="22"/>
      <c r="E250" s="15"/>
    </row>
    <row r="251" spans="1:5" ht="12.75">
      <c r="A251" s="21"/>
      <c r="B251" s="27">
        <v>4300</v>
      </c>
      <c r="C251" s="18" t="s">
        <v>15</v>
      </c>
      <c r="D251" s="22"/>
      <c r="E251" s="15"/>
    </row>
    <row r="252" spans="1:5" ht="12.75">
      <c r="A252" s="21"/>
      <c r="B252" s="27">
        <v>4410</v>
      </c>
      <c r="C252" s="18" t="s">
        <v>48</v>
      </c>
      <c r="D252" s="22"/>
      <c r="E252" s="15"/>
    </row>
    <row r="253" spans="1:5" ht="12.75">
      <c r="A253" s="31">
        <v>80148</v>
      </c>
      <c r="B253" s="26"/>
      <c r="C253" s="19" t="s">
        <v>84</v>
      </c>
      <c r="D253" s="20">
        <f>SUM(D254:D268)</f>
        <v>114647</v>
      </c>
      <c r="E253" s="15"/>
    </row>
    <row r="254" spans="1:5" ht="12.75">
      <c r="A254" s="31"/>
      <c r="B254" s="27">
        <v>3020</v>
      </c>
      <c r="C254" s="18" t="s">
        <v>73</v>
      </c>
      <c r="D254" s="22"/>
      <c r="E254" s="15"/>
    </row>
    <row r="255" spans="1:5" ht="12.75">
      <c r="A255" s="31"/>
      <c r="B255" s="27">
        <v>4010</v>
      </c>
      <c r="C255" s="18" t="s">
        <v>37</v>
      </c>
      <c r="D255" s="22">
        <v>90930</v>
      </c>
      <c r="E255" s="15"/>
    </row>
    <row r="256" spans="1:5" ht="12.75">
      <c r="A256" s="31"/>
      <c r="B256" s="27">
        <v>4040</v>
      </c>
      <c r="C256" s="18" t="s">
        <v>38</v>
      </c>
      <c r="D256" s="22">
        <v>6500</v>
      </c>
      <c r="E256" s="15"/>
    </row>
    <row r="257" spans="1:5" ht="12.75">
      <c r="A257" s="31"/>
      <c r="B257" s="27">
        <v>4110</v>
      </c>
      <c r="C257" s="18" t="s">
        <v>39</v>
      </c>
      <c r="D257" s="22">
        <v>14829</v>
      </c>
      <c r="E257" s="15"/>
    </row>
    <row r="258" spans="1:5" ht="12.75">
      <c r="A258" s="31"/>
      <c r="B258" s="27">
        <v>4120</v>
      </c>
      <c r="C258" s="18" t="s">
        <v>40</v>
      </c>
      <c r="D258" s="22">
        <v>2388</v>
      </c>
      <c r="E258" s="15"/>
    </row>
    <row r="259" spans="1:5" ht="12.75">
      <c r="A259" s="31"/>
      <c r="B259" s="27">
        <v>4210</v>
      </c>
      <c r="C259" s="18" t="s">
        <v>14</v>
      </c>
      <c r="D259" s="22"/>
      <c r="E259" s="15"/>
    </row>
    <row r="260" spans="1:5" ht="12.75">
      <c r="A260" s="31"/>
      <c r="B260" s="27">
        <v>4220</v>
      </c>
      <c r="C260" s="18" t="s">
        <v>78</v>
      </c>
      <c r="D260" s="22"/>
      <c r="E260" s="15"/>
    </row>
    <row r="261" spans="1:5" ht="12.75">
      <c r="A261" s="31"/>
      <c r="B261" s="27">
        <v>4270</v>
      </c>
      <c r="C261" s="18" t="s">
        <v>24</v>
      </c>
      <c r="D261" s="22"/>
      <c r="E261" s="15"/>
    </row>
    <row r="262" spans="1:5" ht="12.75">
      <c r="A262" s="31"/>
      <c r="B262" s="27">
        <v>4280</v>
      </c>
      <c r="C262" s="18" t="s">
        <v>44</v>
      </c>
      <c r="D262" s="22"/>
      <c r="E262" s="15"/>
    </row>
    <row r="263" spans="1:5" ht="12.75">
      <c r="A263" s="31"/>
      <c r="B263" s="27">
        <v>4300</v>
      </c>
      <c r="C263" s="18" t="s">
        <v>15</v>
      </c>
      <c r="D263" s="22"/>
      <c r="E263" s="15"/>
    </row>
    <row r="264" spans="1:5" ht="12.75">
      <c r="A264" s="31"/>
      <c r="B264" s="27">
        <v>4410</v>
      </c>
      <c r="C264" s="18" t="s">
        <v>48</v>
      </c>
      <c r="D264" s="22"/>
      <c r="E264" s="15"/>
    </row>
    <row r="265" spans="1:5" ht="12.75">
      <c r="A265" s="31"/>
      <c r="B265" s="27">
        <v>4430</v>
      </c>
      <c r="C265" s="18" t="s">
        <v>16</v>
      </c>
      <c r="D265" s="22"/>
      <c r="E265" s="15"/>
    </row>
    <row r="266" spans="1:5" ht="12.75">
      <c r="A266" s="31"/>
      <c r="B266" s="27">
        <v>4440</v>
      </c>
      <c r="C266" s="18" t="s">
        <v>50</v>
      </c>
      <c r="D266" s="22"/>
      <c r="E266" s="15"/>
    </row>
    <row r="267" spans="1:5" ht="25.5">
      <c r="A267" s="31"/>
      <c r="B267" s="27">
        <v>4740</v>
      </c>
      <c r="C267" s="18" t="s">
        <v>52</v>
      </c>
      <c r="D267" s="22"/>
      <c r="E267" s="15"/>
    </row>
    <row r="268" spans="1:5" ht="12.75">
      <c r="A268" s="31"/>
      <c r="B268" s="27">
        <v>4750</v>
      </c>
      <c r="C268" s="18" t="s">
        <v>53</v>
      </c>
      <c r="D268" s="22"/>
      <c r="E268" s="15"/>
    </row>
    <row r="269" spans="1:5" ht="12.75">
      <c r="A269" s="31">
        <v>80195</v>
      </c>
      <c r="B269" s="26"/>
      <c r="C269" s="19" t="s">
        <v>13</v>
      </c>
      <c r="D269" s="20">
        <f>SUM(D270:D271)</f>
        <v>0</v>
      </c>
      <c r="E269" s="15"/>
    </row>
    <row r="270" spans="1:5" ht="12.75">
      <c r="A270" s="31"/>
      <c r="B270" s="27">
        <v>4300</v>
      </c>
      <c r="C270" s="27" t="s">
        <v>15</v>
      </c>
      <c r="D270" s="22"/>
      <c r="E270" s="15"/>
    </row>
    <row r="271" spans="1:5" ht="13.5" thickBot="1">
      <c r="A271" s="66"/>
      <c r="B271" s="56">
        <v>4440</v>
      </c>
      <c r="C271" s="57" t="s">
        <v>50</v>
      </c>
      <c r="D271" s="58"/>
      <c r="E271" s="15"/>
    </row>
    <row r="272" spans="1:5" ht="13.5" thickBot="1">
      <c r="A272" s="62">
        <v>851</v>
      </c>
      <c r="B272" s="63"/>
      <c r="C272" s="64" t="s">
        <v>85</v>
      </c>
      <c r="D272" s="65">
        <f>SUM(D273,D276)</f>
        <v>18000</v>
      </c>
      <c r="E272" s="15"/>
    </row>
    <row r="273" spans="1:5" ht="12.75">
      <c r="A273" s="59">
        <v>85153</v>
      </c>
      <c r="B273" s="60"/>
      <c r="C273" s="60" t="s">
        <v>86</v>
      </c>
      <c r="D273" s="28">
        <f>SUM(D274:D275)</f>
        <v>0</v>
      </c>
      <c r="E273" s="15"/>
    </row>
    <row r="274" spans="1:5" ht="12.75">
      <c r="A274" s="21"/>
      <c r="B274" s="27">
        <v>4210</v>
      </c>
      <c r="C274" s="27" t="s">
        <v>14</v>
      </c>
      <c r="D274" s="22"/>
      <c r="E274" s="15"/>
    </row>
    <row r="275" spans="1:5" ht="12.75">
      <c r="A275" s="21"/>
      <c r="B275" s="27">
        <v>4300</v>
      </c>
      <c r="C275" s="27" t="s">
        <v>15</v>
      </c>
      <c r="D275" s="22"/>
      <c r="E275" s="15"/>
    </row>
    <row r="276" spans="1:5" ht="12.75">
      <c r="A276" s="31">
        <v>85154</v>
      </c>
      <c r="B276" s="26"/>
      <c r="C276" s="19" t="s">
        <v>87</v>
      </c>
      <c r="D276" s="20">
        <f>SUM(D277:D287)</f>
        <v>18000</v>
      </c>
      <c r="E276" s="15"/>
    </row>
    <row r="277" spans="1:5" ht="38.25">
      <c r="A277" s="31"/>
      <c r="B277" s="27">
        <v>2710</v>
      </c>
      <c r="C277" s="18" t="s">
        <v>22</v>
      </c>
      <c r="D277" s="22"/>
      <c r="E277" s="15">
        <v>-4000</v>
      </c>
    </row>
    <row r="278" spans="1:5" ht="25.5">
      <c r="A278" s="31"/>
      <c r="B278" s="27">
        <v>2820</v>
      </c>
      <c r="C278" s="18" t="s">
        <v>59</v>
      </c>
      <c r="D278" s="22"/>
      <c r="E278" s="15">
        <v>4000</v>
      </c>
    </row>
    <row r="279" spans="1:5" ht="12.75">
      <c r="A279" s="31"/>
      <c r="B279" s="27">
        <v>4110</v>
      </c>
      <c r="C279" s="18" t="s">
        <v>39</v>
      </c>
      <c r="D279" s="22">
        <v>800</v>
      </c>
      <c r="E279" s="15"/>
    </row>
    <row r="280" spans="1:5" ht="12.75">
      <c r="A280" s="31"/>
      <c r="B280" s="27">
        <v>4120</v>
      </c>
      <c r="C280" s="18" t="s">
        <v>40</v>
      </c>
      <c r="D280" s="22">
        <v>200</v>
      </c>
      <c r="E280" s="15"/>
    </row>
    <row r="281" spans="1:5" ht="12.75">
      <c r="A281" s="31"/>
      <c r="B281" s="27">
        <v>4170</v>
      </c>
      <c r="C281" s="18" t="s">
        <v>42</v>
      </c>
      <c r="D281" s="22">
        <v>17000</v>
      </c>
      <c r="E281" s="15"/>
    </row>
    <row r="282" spans="1:5" ht="12.75">
      <c r="A282" s="31"/>
      <c r="B282" s="27">
        <v>4210</v>
      </c>
      <c r="C282" s="18" t="s">
        <v>14</v>
      </c>
      <c r="D282" s="22"/>
      <c r="E282" s="15"/>
    </row>
    <row r="283" spans="1:5" ht="12.75">
      <c r="A283" s="31"/>
      <c r="B283" s="27">
        <v>4260</v>
      </c>
      <c r="C283" s="18" t="s">
        <v>43</v>
      </c>
      <c r="D283" s="22"/>
      <c r="E283" s="15"/>
    </row>
    <row r="284" spans="1:5" ht="12.75">
      <c r="A284" s="31"/>
      <c r="B284" s="27">
        <v>4300</v>
      </c>
      <c r="C284" s="18" t="s">
        <v>15</v>
      </c>
      <c r="D284" s="22"/>
      <c r="E284" s="15"/>
    </row>
    <row r="285" spans="1:5" ht="25.5">
      <c r="A285" s="31"/>
      <c r="B285" s="27">
        <v>4370</v>
      </c>
      <c r="C285" s="18" t="s">
        <v>47</v>
      </c>
      <c r="D285" s="22"/>
      <c r="E285" s="15"/>
    </row>
    <row r="286" spans="1:5" ht="12.75">
      <c r="A286" s="31"/>
      <c r="B286" s="27">
        <v>4410</v>
      </c>
      <c r="C286" s="18" t="s">
        <v>48</v>
      </c>
      <c r="D286" s="22"/>
      <c r="E286" s="15"/>
    </row>
    <row r="287" spans="1:5" ht="26.25" thickBot="1">
      <c r="A287" s="67"/>
      <c r="B287" s="56">
        <v>4740</v>
      </c>
      <c r="C287" s="57" t="s">
        <v>52</v>
      </c>
      <c r="D287" s="58"/>
      <c r="E287" s="15"/>
    </row>
    <row r="288" spans="1:5" ht="13.5" thickBot="1">
      <c r="A288" s="62">
        <v>852</v>
      </c>
      <c r="B288" s="63"/>
      <c r="C288" s="64" t="s">
        <v>88</v>
      </c>
      <c r="D288" s="65">
        <f>SUM(D289,D291,D293,D295,D314)</f>
        <v>595344.5</v>
      </c>
      <c r="E288" s="15"/>
    </row>
    <row r="289" spans="1:5" ht="12.75">
      <c r="A289" s="59">
        <v>85202</v>
      </c>
      <c r="B289" s="60"/>
      <c r="C289" s="61" t="s">
        <v>89</v>
      </c>
      <c r="D289" s="28">
        <f>SUM(D290)</f>
        <v>0</v>
      </c>
      <c r="E289" s="15"/>
    </row>
    <row r="290" spans="1:5" ht="25.5">
      <c r="A290" s="31"/>
      <c r="B290" s="27">
        <v>4330</v>
      </c>
      <c r="C290" s="18" t="s">
        <v>122</v>
      </c>
      <c r="D290" s="22"/>
      <c r="E290" s="77"/>
    </row>
    <row r="291" spans="1:5" ht="25.5">
      <c r="A291" s="31">
        <v>85214</v>
      </c>
      <c r="B291" s="26"/>
      <c r="C291" s="19" t="s">
        <v>90</v>
      </c>
      <c r="D291" s="20">
        <f>SUM(D292:D292)</f>
        <v>0</v>
      </c>
      <c r="E291" s="78"/>
    </row>
    <row r="292" spans="1:5" ht="12.75">
      <c r="A292" s="21"/>
      <c r="B292" s="27">
        <v>3110</v>
      </c>
      <c r="C292" s="18" t="s">
        <v>91</v>
      </c>
      <c r="D292" s="22"/>
      <c r="E292" s="77"/>
    </row>
    <row r="293" spans="1:5" ht="12.75">
      <c r="A293" s="31">
        <v>85215</v>
      </c>
      <c r="B293" s="26"/>
      <c r="C293" s="19" t="s">
        <v>92</v>
      </c>
      <c r="D293" s="20">
        <f>SUM(D294)</f>
        <v>0</v>
      </c>
      <c r="E293" s="77"/>
    </row>
    <row r="294" spans="1:5" ht="12.75">
      <c r="A294" s="21"/>
      <c r="B294" s="27">
        <v>3110</v>
      </c>
      <c r="C294" s="18" t="s">
        <v>91</v>
      </c>
      <c r="D294" s="22"/>
      <c r="E294" s="78"/>
    </row>
    <row r="295" spans="1:5" ht="12.75">
      <c r="A295" s="31">
        <v>85219</v>
      </c>
      <c r="B295" s="26"/>
      <c r="C295" s="19" t="s">
        <v>93</v>
      </c>
      <c r="D295" s="20">
        <f>SUM(D296:D313)</f>
        <v>595344.5</v>
      </c>
      <c r="E295" s="77"/>
    </row>
    <row r="296" spans="1:5" ht="12.75">
      <c r="A296" s="21"/>
      <c r="B296" s="27">
        <v>3020</v>
      </c>
      <c r="C296" s="18" t="s">
        <v>73</v>
      </c>
      <c r="D296" s="22"/>
      <c r="E296" s="78"/>
    </row>
    <row r="297" spans="1:5" ht="12.75">
      <c r="A297" s="21"/>
      <c r="B297" s="27">
        <v>4010</v>
      </c>
      <c r="C297" s="18" t="s">
        <v>37</v>
      </c>
      <c r="D297" s="22">
        <v>450000</v>
      </c>
      <c r="E297" s="77"/>
    </row>
    <row r="298" spans="1:5" ht="12.75">
      <c r="A298" s="21"/>
      <c r="B298" s="27">
        <v>4040</v>
      </c>
      <c r="C298" s="18" t="s">
        <v>38</v>
      </c>
      <c r="D298" s="22">
        <v>30000</v>
      </c>
      <c r="E298" s="77"/>
    </row>
    <row r="299" spans="1:5" ht="12.75">
      <c r="A299" s="21"/>
      <c r="B299" s="27">
        <v>4110</v>
      </c>
      <c r="C299" s="18" t="s">
        <v>39</v>
      </c>
      <c r="D299" s="22">
        <f>(D297+D298+D301)*15.44%</f>
        <v>77971.99999999999</v>
      </c>
      <c r="E299" s="77"/>
    </row>
    <row r="300" spans="1:5" ht="12.75">
      <c r="A300" s="21"/>
      <c r="B300" s="27">
        <v>4120</v>
      </c>
      <c r="C300" s="18" t="s">
        <v>40</v>
      </c>
      <c r="D300" s="22">
        <f>(D297+D298+D301)*2.45%</f>
        <v>12372.5</v>
      </c>
      <c r="E300" s="77"/>
    </row>
    <row r="301" spans="1:5" ht="12.75">
      <c r="A301" s="21"/>
      <c r="B301" s="27">
        <v>4170</v>
      </c>
      <c r="C301" s="18" t="s">
        <v>42</v>
      </c>
      <c r="D301" s="22">
        <v>25000</v>
      </c>
      <c r="E301" s="77"/>
    </row>
    <row r="302" spans="1:5" ht="12.75">
      <c r="A302" s="21"/>
      <c r="B302" s="27">
        <v>4210</v>
      </c>
      <c r="C302" s="18" t="s">
        <v>14</v>
      </c>
      <c r="D302" s="22"/>
      <c r="E302" s="78"/>
    </row>
    <row r="303" spans="1:5" ht="12.75">
      <c r="A303" s="21"/>
      <c r="B303" s="27">
        <v>4260</v>
      </c>
      <c r="C303" s="18" t="s">
        <v>43</v>
      </c>
      <c r="D303" s="22"/>
      <c r="E303" s="77"/>
    </row>
    <row r="304" spans="1:5" ht="12.75">
      <c r="A304" s="21"/>
      <c r="B304" s="27">
        <v>4270</v>
      </c>
      <c r="C304" s="18" t="s">
        <v>24</v>
      </c>
      <c r="D304" s="22"/>
      <c r="E304" s="77"/>
    </row>
    <row r="305" spans="1:5" ht="12.75">
      <c r="A305" s="21"/>
      <c r="B305" s="27">
        <v>4280</v>
      </c>
      <c r="C305" s="18" t="s">
        <v>44</v>
      </c>
      <c r="D305" s="22"/>
      <c r="E305" s="77"/>
    </row>
    <row r="306" spans="1:5" ht="12.75">
      <c r="A306" s="21"/>
      <c r="B306" s="27">
        <v>4300</v>
      </c>
      <c r="C306" s="18" t="s">
        <v>15</v>
      </c>
      <c r="D306" s="22"/>
      <c r="E306" s="77"/>
    </row>
    <row r="307" spans="1:5" ht="12.75">
      <c r="A307" s="21"/>
      <c r="B307" s="27">
        <v>4350</v>
      </c>
      <c r="C307" s="18" t="s">
        <v>45</v>
      </c>
      <c r="D307" s="22"/>
      <c r="E307" s="77"/>
    </row>
    <row r="308" spans="1:5" ht="25.5">
      <c r="A308" s="21"/>
      <c r="B308" s="27">
        <v>4370</v>
      </c>
      <c r="C308" s="18" t="s">
        <v>47</v>
      </c>
      <c r="D308" s="22"/>
      <c r="E308" s="15"/>
    </row>
    <row r="309" spans="1:5" ht="12.75">
      <c r="A309" s="21"/>
      <c r="B309" s="27">
        <v>4410</v>
      </c>
      <c r="C309" s="18" t="s">
        <v>48</v>
      </c>
      <c r="D309" s="22"/>
      <c r="E309" s="15"/>
    </row>
    <row r="310" spans="1:5" ht="12.75">
      <c r="A310" s="21"/>
      <c r="B310" s="27">
        <v>4440</v>
      </c>
      <c r="C310" s="18" t="s">
        <v>50</v>
      </c>
      <c r="D310" s="22"/>
      <c r="E310" s="15"/>
    </row>
    <row r="311" spans="1:5" ht="25.5">
      <c r="A311" s="21"/>
      <c r="B311" s="27">
        <v>4700</v>
      </c>
      <c r="C311" s="18" t="s">
        <v>51</v>
      </c>
      <c r="D311" s="22"/>
      <c r="E311" s="15"/>
    </row>
    <row r="312" spans="1:5" ht="25.5">
      <c r="A312" s="21"/>
      <c r="B312" s="27">
        <v>4740</v>
      </c>
      <c r="C312" s="18" t="s">
        <v>52</v>
      </c>
      <c r="D312" s="22"/>
      <c r="E312" s="15"/>
    </row>
    <row r="313" spans="1:5" ht="12.75">
      <c r="A313" s="21"/>
      <c r="B313" s="27">
        <v>4750</v>
      </c>
      <c r="C313" s="18" t="s">
        <v>53</v>
      </c>
      <c r="D313" s="22"/>
      <c r="E313" s="15"/>
    </row>
    <row r="314" spans="1:5" ht="12.75">
      <c r="A314" s="31">
        <v>85295</v>
      </c>
      <c r="B314" s="26"/>
      <c r="C314" s="19" t="s">
        <v>13</v>
      </c>
      <c r="D314" s="20">
        <f>SUM(D315:D316)</f>
        <v>0</v>
      </c>
      <c r="E314" s="15"/>
    </row>
    <row r="315" spans="1:5" ht="22.5">
      <c r="A315" s="52"/>
      <c r="B315" s="27">
        <v>2820</v>
      </c>
      <c r="C315" s="44" t="s">
        <v>59</v>
      </c>
      <c r="D315" s="22"/>
      <c r="E315" s="76"/>
    </row>
    <row r="316" spans="1:5" ht="13.5" thickBot="1">
      <c r="A316" s="66"/>
      <c r="B316" s="56">
        <v>3110</v>
      </c>
      <c r="C316" s="57" t="s">
        <v>91</v>
      </c>
      <c r="D316" s="58"/>
      <c r="E316" s="15"/>
    </row>
    <row r="317" spans="1:5" ht="13.5" thickBot="1">
      <c r="A317" s="62">
        <v>854</v>
      </c>
      <c r="B317" s="63"/>
      <c r="C317" s="64" t="s">
        <v>94</v>
      </c>
      <c r="D317" s="65">
        <f>SUM(D318)</f>
        <v>162053</v>
      </c>
      <c r="E317" s="15"/>
    </row>
    <row r="318" spans="1:5" ht="12.75">
      <c r="A318" s="59">
        <v>85401</v>
      </c>
      <c r="B318" s="60"/>
      <c r="C318" s="61" t="s">
        <v>95</v>
      </c>
      <c r="D318" s="28">
        <f>SUM(D319:D333)</f>
        <v>162053</v>
      </c>
      <c r="E318" s="15"/>
    </row>
    <row r="319" spans="1:5" ht="12.75">
      <c r="A319" s="21"/>
      <c r="B319" s="27">
        <v>3020</v>
      </c>
      <c r="C319" s="18" t="s">
        <v>73</v>
      </c>
      <c r="D319" s="22"/>
      <c r="E319" s="15"/>
    </row>
    <row r="320" spans="1:5" ht="12.75">
      <c r="A320" s="21"/>
      <c r="B320" s="27">
        <v>4010</v>
      </c>
      <c r="C320" s="18" t="s">
        <v>37</v>
      </c>
      <c r="D320" s="22">
        <v>127066</v>
      </c>
      <c r="E320" s="15"/>
    </row>
    <row r="321" spans="1:5" ht="12.75">
      <c r="A321" s="21"/>
      <c r="B321" s="27">
        <v>4040</v>
      </c>
      <c r="C321" s="18" t="s">
        <v>38</v>
      </c>
      <c r="D321" s="22">
        <v>6480</v>
      </c>
      <c r="E321" s="15"/>
    </row>
    <row r="322" spans="1:5" ht="12.75">
      <c r="A322" s="21"/>
      <c r="B322" s="27">
        <v>4110</v>
      </c>
      <c r="C322" s="18" t="s">
        <v>39</v>
      </c>
      <c r="D322" s="22">
        <v>21970</v>
      </c>
      <c r="E322" s="15"/>
    </row>
    <row r="323" spans="1:5" ht="12.75">
      <c r="A323" s="21"/>
      <c r="B323" s="27">
        <v>4120</v>
      </c>
      <c r="C323" s="18" t="s">
        <v>40</v>
      </c>
      <c r="D323" s="22">
        <v>3537</v>
      </c>
      <c r="E323" s="15"/>
    </row>
    <row r="324" spans="1:5" ht="12.75">
      <c r="A324" s="21"/>
      <c r="B324" s="27">
        <v>4170</v>
      </c>
      <c r="C324" s="18" t="s">
        <v>42</v>
      </c>
      <c r="D324" s="22">
        <v>3000</v>
      </c>
      <c r="E324" s="15"/>
    </row>
    <row r="325" spans="1:5" ht="12.75">
      <c r="A325" s="21"/>
      <c r="B325" s="27">
        <v>4210</v>
      </c>
      <c r="C325" s="18" t="s">
        <v>14</v>
      </c>
      <c r="D325" s="22"/>
      <c r="E325" s="15"/>
    </row>
    <row r="326" spans="1:5" ht="12.75">
      <c r="A326" s="21"/>
      <c r="B326" s="27">
        <v>4240</v>
      </c>
      <c r="C326" s="18" t="s">
        <v>76</v>
      </c>
      <c r="D326" s="22"/>
      <c r="E326" s="15"/>
    </row>
    <row r="327" spans="1:5" ht="12.75">
      <c r="A327" s="21"/>
      <c r="B327" s="27">
        <v>4270</v>
      </c>
      <c r="C327" s="18" t="s">
        <v>24</v>
      </c>
      <c r="D327" s="22"/>
      <c r="E327" s="15"/>
    </row>
    <row r="328" spans="1:5" ht="12.75">
      <c r="A328" s="21"/>
      <c r="B328" s="27">
        <v>4280</v>
      </c>
      <c r="C328" s="18" t="s">
        <v>44</v>
      </c>
      <c r="D328" s="22"/>
      <c r="E328" s="15"/>
    </row>
    <row r="329" spans="1:5" ht="12.75">
      <c r="A329" s="21"/>
      <c r="B329" s="27">
        <v>4300</v>
      </c>
      <c r="C329" s="18" t="s">
        <v>15</v>
      </c>
      <c r="D329" s="22"/>
      <c r="E329" s="15"/>
    </row>
    <row r="330" spans="1:5" ht="12.75">
      <c r="A330" s="21"/>
      <c r="B330" s="27">
        <v>4410</v>
      </c>
      <c r="C330" s="18" t="s">
        <v>48</v>
      </c>
      <c r="D330" s="22"/>
      <c r="E330" s="15"/>
    </row>
    <row r="331" spans="1:5" ht="12.75">
      <c r="A331" s="21"/>
      <c r="B331" s="27">
        <v>4440</v>
      </c>
      <c r="C331" s="18" t="s">
        <v>50</v>
      </c>
      <c r="D331" s="22"/>
      <c r="E331" s="15"/>
    </row>
    <row r="332" spans="1:5" ht="25.5">
      <c r="A332" s="21"/>
      <c r="B332" s="27">
        <v>4740</v>
      </c>
      <c r="C332" s="18" t="s">
        <v>52</v>
      </c>
      <c r="D332" s="22"/>
      <c r="E332" s="15"/>
    </row>
    <row r="333" spans="1:5" ht="13.5" thickBot="1">
      <c r="A333" s="66"/>
      <c r="B333" s="56">
        <v>6060</v>
      </c>
      <c r="C333" s="57" t="s">
        <v>61</v>
      </c>
      <c r="D333" s="58"/>
      <c r="E333" s="15"/>
    </row>
    <row r="334" spans="1:5" ht="13.5" thickBot="1">
      <c r="A334" s="62">
        <v>900</v>
      </c>
      <c r="B334" s="63"/>
      <c r="C334" s="64" t="s">
        <v>96</v>
      </c>
      <c r="D334" s="65">
        <f>SUM(D335,D337,D340,D342,D344,D349,D351)</f>
        <v>0</v>
      </c>
      <c r="E334" s="15"/>
    </row>
    <row r="335" spans="1:5" ht="12.75">
      <c r="A335" s="59">
        <v>90001</v>
      </c>
      <c r="B335" s="60"/>
      <c r="C335" s="61" t="s">
        <v>125</v>
      </c>
      <c r="D335" s="28">
        <f>D336</f>
        <v>0</v>
      </c>
      <c r="E335" s="15"/>
    </row>
    <row r="336" spans="1:5" ht="12.75">
      <c r="A336" s="31"/>
      <c r="B336" s="27">
        <v>4260</v>
      </c>
      <c r="C336" s="18" t="s">
        <v>43</v>
      </c>
      <c r="D336" s="22"/>
      <c r="E336" s="15"/>
    </row>
    <row r="337" spans="1:5" ht="12.75">
      <c r="A337" s="31">
        <v>90002</v>
      </c>
      <c r="B337" s="26"/>
      <c r="C337" s="19" t="s">
        <v>97</v>
      </c>
      <c r="D337" s="20">
        <f>SUM(D338:D339)</f>
        <v>0</v>
      </c>
      <c r="E337" s="15"/>
    </row>
    <row r="338" spans="1:5" ht="12.75">
      <c r="A338" s="31"/>
      <c r="B338" s="27">
        <v>4300</v>
      </c>
      <c r="C338" s="18" t="s">
        <v>15</v>
      </c>
      <c r="D338" s="22"/>
      <c r="E338" s="15"/>
    </row>
    <row r="339" spans="1:5" ht="51">
      <c r="A339" s="21"/>
      <c r="B339" s="27">
        <v>6659</v>
      </c>
      <c r="C339" s="18" t="s">
        <v>8</v>
      </c>
      <c r="D339" s="22"/>
      <c r="E339" s="15"/>
    </row>
    <row r="340" spans="1:5" ht="12.75">
      <c r="A340" s="31">
        <v>90003</v>
      </c>
      <c r="B340" s="26"/>
      <c r="C340" s="19" t="s">
        <v>98</v>
      </c>
      <c r="D340" s="20">
        <f>SUM(D341)</f>
        <v>0</v>
      </c>
      <c r="E340" s="15"/>
    </row>
    <row r="341" spans="1:5" ht="12.75">
      <c r="A341" s="21"/>
      <c r="B341" s="27">
        <v>4300</v>
      </c>
      <c r="C341" s="18" t="s">
        <v>15</v>
      </c>
      <c r="D341" s="22"/>
      <c r="E341" s="15"/>
    </row>
    <row r="342" spans="1:5" ht="12.75">
      <c r="A342" s="31">
        <v>90004</v>
      </c>
      <c r="B342" s="26"/>
      <c r="C342" s="19" t="s">
        <v>99</v>
      </c>
      <c r="D342" s="20">
        <f>SUM(D343:D343)</f>
        <v>0</v>
      </c>
      <c r="E342" s="15"/>
    </row>
    <row r="343" spans="1:5" ht="12.75">
      <c r="A343" s="21"/>
      <c r="B343" s="27">
        <v>4300</v>
      </c>
      <c r="C343" s="18" t="s">
        <v>15</v>
      </c>
      <c r="D343" s="22"/>
      <c r="E343" s="15"/>
    </row>
    <row r="344" spans="1:5" ht="12.75">
      <c r="A344" s="31">
        <v>90015</v>
      </c>
      <c r="B344" s="26"/>
      <c r="C344" s="19" t="s">
        <v>100</v>
      </c>
      <c r="D344" s="20">
        <f>SUM(D345:D347)</f>
        <v>0</v>
      </c>
      <c r="E344" s="15"/>
    </row>
    <row r="345" spans="1:5" ht="12.75">
      <c r="A345" s="21"/>
      <c r="B345" s="27">
        <v>4260</v>
      </c>
      <c r="C345" s="18" t="s">
        <v>43</v>
      </c>
      <c r="D345" s="22"/>
      <c r="E345" s="15"/>
    </row>
    <row r="346" spans="1:5" ht="12.75">
      <c r="A346" s="21"/>
      <c r="B346" s="27">
        <v>4300</v>
      </c>
      <c r="C346" s="18" t="s">
        <v>15</v>
      </c>
      <c r="D346" s="22"/>
      <c r="E346" s="15"/>
    </row>
    <row r="347" spans="1:5" ht="12.75">
      <c r="A347" s="21"/>
      <c r="B347" s="27">
        <v>6050</v>
      </c>
      <c r="C347" s="18" t="s">
        <v>26</v>
      </c>
      <c r="D347" s="22"/>
      <c r="E347" s="15">
        <v>20000</v>
      </c>
    </row>
    <row r="348" spans="1:5" ht="12.75">
      <c r="A348" s="21"/>
      <c r="B348" s="27"/>
      <c r="C348" s="18"/>
      <c r="D348" s="22"/>
      <c r="E348" s="15"/>
    </row>
    <row r="349" spans="1:5" ht="12.75">
      <c r="A349" s="31">
        <v>90017</v>
      </c>
      <c r="B349" s="26"/>
      <c r="C349" s="19" t="s">
        <v>101</v>
      </c>
      <c r="D349" s="20">
        <f>SUM(D350:D350)</f>
        <v>0</v>
      </c>
      <c r="E349" s="15"/>
    </row>
    <row r="350" spans="1:5" ht="22.5">
      <c r="A350" s="51"/>
      <c r="B350" s="27">
        <v>6210</v>
      </c>
      <c r="C350" s="44" t="s">
        <v>102</v>
      </c>
      <c r="D350" s="22"/>
      <c r="E350" s="76">
        <v>-50000</v>
      </c>
    </row>
    <row r="351" spans="1:5" ht="12.75">
      <c r="A351" s="31">
        <v>90095</v>
      </c>
      <c r="B351" s="26"/>
      <c r="C351" s="19" t="s">
        <v>13</v>
      </c>
      <c r="D351" s="20">
        <f>SUM(D352:D356)</f>
        <v>0</v>
      </c>
      <c r="E351" s="15"/>
    </row>
    <row r="352" spans="1:5" ht="33.75">
      <c r="A352" s="51"/>
      <c r="B352" s="27">
        <v>2900</v>
      </c>
      <c r="C352" s="44" t="s">
        <v>103</v>
      </c>
      <c r="D352" s="22"/>
      <c r="E352" s="76"/>
    </row>
    <row r="353" spans="1:5" ht="12.75">
      <c r="A353" s="21"/>
      <c r="B353" s="27">
        <v>4210</v>
      </c>
      <c r="C353" s="18" t="s">
        <v>14</v>
      </c>
      <c r="D353" s="22"/>
      <c r="E353" s="15"/>
    </row>
    <row r="354" spans="1:5" ht="12.75">
      <c r="A354" s="21"/>
      <c r="B354" s="27">
        <v>4260</v>
      </c>
      <c r="C354" s="18" t="s">
        <v>43</v>
      </c>
      <c r="D354" s="22"/>
      <c r="E354" s="15"/>
    </row>
    <row r="355" spans="1:5" ht="12.75">
      <c r="A355" s="21"/>
      <c r="B355" s="27">
        <v>4300</v>
      </c>
      <c r="C355" s="18" t="s">
        <v>15</v>
      </c>
      <c r="D355" s="22"/>
      <c r="E355" s="15"/>
    </row>
    <row r="356" spans="1:5" ht="13.5" thickBot="1">
      <c r="A356" s="66"/>
      <c r="B356" s="56">
        <v>4430</v>
      </c>
      <c r="C356" s="57" t="s">
        <v>16</v>
      </c>
      <c r="D356" s="58"/>
      <c r="E356" s="15"/>
    </row>
    <row r="357" spans="1:5" ht="13.5" thickBot="1">
      <c r="A357" s="62">
        <v>921</v>
      </c>
      <c r="B357" s="63"/>
      <c r="C357" s="64" t="s">
        <v>104</v>
      </c>
      <c r="D357" s="65">
        <f>SUM(D358,D361,D365,D367)</f>
        <v>0</v>
      </c>
      <c r="E357" s="15"/>
    </row>
    <row r="358" spans="1:5" ht="12.75">
      <c r="A358" s="59">
        <v>92109</v>
      </c>
      <c r="B358" s="60"/>
      <c r="C358" s="61" t="s">
        <v>105</v>
      </c>
      <c r="D358" s="28">
        <f>D359+D360</f>
        <v>0</v>
      </c>
      <c r="E358" s="15"/>
    </row>
    <row r="359" spans="1:5" ht="25.5">
      <c r="A359" s="21"/>
      <c r="B359" s="27">
        <v>2480</v>
      </c>
      <c r="C359" s="18" t="s">
        <v>106</v>
      </c>
      <c r="D359" s="22"/>
      <c r="E359" s="15"/>
    </row>
    <row r="360" spans="1:5" ht="12.75">
      <c r="A360" s="21"/>
      <c r="B360" s="27">
        <v>6050</v>
      </c>
      <c r="C360" s="18" t="s">
        <v>26</v>
      </c>
      <c r="D360" s="22"/>
      <c r="E360" s="76">
        <v>200000</v>
      </c>
    </row>
    <row r="361" spans="1:5" ht="12.75">
      <c r="A361" s="31">
        <v>92116</v>
      </c>
      <c r="B361" s="26"/>
      <c r="C361" s="19" t="s">
        <v>107</v>
      </c>
      <c r="D361" s="20">
        <f>D362+D363+D364</f>
        <v>0</v>
      </c>
      <c r="E361" s="15"/>
    </row>
    <row r="362" spans="1:5" ht="25.5">
      <c r="A362" s="31"/>
      <c r="B362" s="27">
        <v>2480</v>
      </c>
      <c r="C362" s="18" t="s">
        <v>106</v>
      </c>
      <c r="D362" s="22"/>
      <c r="E362" s="15"/>
    </row>
    <row r="363" spans="1:5" ht="12.75">
      <c r="A363" s="31"/>
      <c r="B363" s="27">
        <v>6058</v>
      </c>
      <c r="C363" s="18" t="s">
        <v>26</v>
      </c>
      <c r="D363" s="22"/>
      <c r="E363" s="15"/>
    </row>
    <row r="364" spans="1:5" ht="12.75">
      <c r="A364" s="31"/>
      <c r="B364" s="27">
        <v>6059</v>
      </c>
      <c r="C364" s="18" t="s">
        <v>26</v>
      </c>
      <c r="D364" s="22"/>
      <c r="E364" s="15"/>
    </row>
    <row r="365" spans="1:5" ht="12.75">
      <c r="A365" s="31">
        <v>92120</v>
      </c>
      <c r="B365" s="26"/>
      <c r="C365" s="26" t="s">
        <v>132</v>
      </c>
      <c r="D365" s="20">
        <f>D366</f>
        <v>0</v>
      </c>
      <c r="E365" s="15"/>
    </row>
    <row r="366" spans="1:5" ht="38.25">
      <c r="A366" s="31"/>
      <c r="B366" s="27">
        <v>4349</v>
      </c>
      <c r="C366" s="18" t="s">
        <v>144</v>
      </c>
      <c r="D366" s="22"/>
      <c r="E366" s="15"/>
    </row>
    <row r="367" spans="1:5" ht="12.75">
      <c r="A367" s="31">
        <v>92195</v>
      </c>
      <c r="B367" s="26"/>
      <c r="C367" s="26" t="s">
        <v>13</v>
      </c>
      <c r="D367" s="20">
        <f>SUM(D368:D373)</f>
        <v>0</v>
      </c>
      <c r="E367" s="15"/>
    </row>
    <row r="368" spans="1:5" ht="12.75">
      <c r="A368" s="21"/>
      <c r="B368" s="27">
        <v>4210</v>
      </c>
      <c r="C368" s="27" t="s">
        <v>14</v>
      </c>
      <c r="D368" s="22"/>
      <c r="E368" s="15"/>
    </row>
    <row r="369" spans="1:5" ht="12.75">
      <c r="A369" s="21"/>
      <c r="B369" s="27">
        <v>4260</v>
      </c>
      <c r="C369" s="18" t="s">
        <v>43</v>
      </c>
      <c r="D369" s="22"/>
      <c r="E369" s="15"/>
    </row>
    <row r="370" spans="1:5" ht="12.75">
      <c r="A370" s="21"/>
      <c r="B370" s="27">
        <v>4270</v>
      </c>
      <c r="C370" s="18" t="s">
        <v>24</v>
      </c>
      <c r="D370" s="22"/>
      <c r="E370" s="15"/>
    </row>
    <row r="371" spans="1:5" ht="12.75">
      <c r="A371" s="21"/>
      <c r="B371" s="27">
        <v>4300</v>
      </c>
      <c r="C371" s="27" t="s">
        <v>15</v>
      </c>
      <c r="D371" s="22"/>
      <c r="E371" s="15"/>
    </row>
    <row r="372" spans="1:5" ht="12.75">
      <c r="A372" s="21"/>
      <c r="B372" s="27">
        <v>6058</v>
      </c>
      <c r="C372" s="18" t="s">
        <v>26</v>
      </c>
      <c r="D372" s="22"/>
      <c r="E372" s="15"/>
    </row>
    <row r="373" spans="1:5" ht="13.5" thickBot="1">
      <c r="A373" s="66"/>
      <c r="B373" s="56">
        <v>6059</v>
      </c>
      <c r="C373" s="57" t="s">
        <v>26</v>
      </c>
      <c r="D373" s="58"/>
      <c r="E373" s="76">
        <v>-100000</v>
      </c>
    </row>
    <row r="374" spans="1:5" ht="13.5" thickBot="1">
      <c r="A374" s="62">
        <v>926</v>
      </c>
      <c r="B374" s="63"/>
      <c r="C374" s="64" t="s">
        <v>108</v>
      </c>
      <c r="D374" s="65">
        <f>SUM(D375,D379)</f>
        <v>10644</v>
      </c>
      <c r="E374" s="15"/>
    </row>
    <row r="375" spans="1:5" ht="12.75">
      <c r="A375" s="59">
        <v>92601</v>
      </c>
      <c r="B375" s="60"/>
      <c r="C375" s="61" t="s">
        <v>109</v>
      </c>
      <c r="D375" s="28">
        <f>SUM(D376:D378)</f>
        <v>0</v>
      </c>
      <c r="E375" s="15"/>
    </row>
    <row r="376" spans="1:5" ht="12.75">
      <c r="A376" s="31"/>
      <c r="B376" s="27">
        <v>6050</v>
      </c>
      <c r="C376" s="18" t="s">
        <v>26</v>
      </c>
      <c r="D376" s="22"/>
      <c r="E376" s="15"/>
    </row>
    <row r="377" spans="1:5" ht="12.75">
      <c r="A377" s="31"/>
      <c r="B377" s="27">
        <v>6058</v>
      </c>
      <c r="C377" s="18" t="s">
        <v>26</v>
      </c>
      <c r="D377" s="79">
        <v>0</v>
      </c>
      <c r="E377" s="15"/>
    </row>
    <row r="378" spans="1:5" ht="12.75">
      <c r="A378" s="21"/>
      <c r="B378" s="27">
        <v>6059</v>
      </c>
      <c r="C378" s="18" t="s">
        <v>26</v>
      </c>
      <c r="D378" s="79">
        <v>0</v>
      </c>
      <c r="E378" s="15"/>
    </row>
    <row r="379" spans="1:5" ht="12.75">
      <c r="A379" s="31">
        <v>92605</v>
      </c>
      <c r="B379" s="26"/>
      <c r="C379" s="19" t="s">
        <v>110</v>
      </c>
      <c r="D379" s="20">
        <f>SUM(D380:D388)</f>
        <v>10644</v>
      </c>
      <c r="E379" s="15"/>
    </row>
    <row r="380" spans="1:5" ht="25.5">
      <c r="A380" s="31"/>
      <c r="B380" s="27">
        <v>2820</v>
      </c>
      <c r="C380" s="18" t="s">
        <v>111</v>
      </c>
      <c r="D380" s="22"/>
      <c r="E380" s="15">
        <v>15000</v>
      </c>
    </row>
    <row r="381" spans="1:5" ht="12.75">
      <c r="A381" s="21"/>
      <c r="B381" s="27">
        <v>4110</v>
      </c>
      <c r="C381" s="18" t="s">
        <v>39</v>
      </c>
      <c r="D381" s="22">
        <v>1628</v>
      </c>
      <c r="E381" s="15"/>
    </row>
    <row r="382" spans="1:5" ht="12.75">
      <c r="A382" s="21"/>
      <c r="B382" s="27">
        <v>4120</v>
      </c>
      <c r="C382" s="18" t="s">
        <v>40</v>
      </c>
      <c r="D382" s="22">
        <v>216</v>
      </c>
      <c r="E382" s="15"/>
    </row>
    <row r="383" spans="1:5" ht="12.75">
      <c r="A383" s="21"/>
      <c r="B383" s="27">
        <v>4170</v>
      </c>
      <c r="C383" s="18" t="s">
        <v>42</v>
      </c>
      <c r="D383" s="22">
        <v>8800</v>
      </c>
      <c r="E383" s="15"/>
    </row>
    <row r="384" spans="1:5" ht="12.75">
      <c r="A384" s="21"/>
      <c r="B384" s="27">
        <v>4210</v>
      </c>
      <c r="C384" s="18" t="s">
        <v>14</v>
      </c>
      <c r="D384" s="22"/>
      <c r="E384" s="15"/>
    </row>
    <row r="385" spans="1:5" ht="12.75">
      <c r="A385" s="21"/>
      <c r="B385" s="27">
        <v>4260</v>
      </c>
      <c r="C385" s="18" t="s">
        <v>43</v>
      </c>
      <c r="D385" s="22"/>
      <c r="E385" s="15"/>
    </row>
    <row r="386" spans="1:5" ht="12.75">
      <c r="A386" s="21"/>
      <c r="B386" s="27">
        <v>4270</v>
      </c>
      <c r="C386" s="18" t="s">
        <v>24</v>
      </c>
      <c r="D386" s="22"/>
      <c r="E386" s="15"/>
    </row>
    <row r="387" spans="1:5" ht="12.75">
      <c r="A387" s="21"/>
      <c r="B387" s="27">
        <v>4300</v>
      </c>
      <c r="C387" s="18" t="s">
        <v>15</v>
      </c>
      <c r="D387" s="22"/>
      <c r="E387" s="15"/>
    </row>
    <row r="388" spans="1:5" ht="26.25" thickBot="1">
      <c r="A388" s="66"/>
      <c r="B388" s="56">
        <v>4370</v>
      </c>
      <c r="C388" s="57" t="s">
        <v>47</v>
      </c>
      <c r="D388" s="58"/>
      <c r="E388" s="15"/>
    </row>
    <row r="389" spans="1:5" ht="13.5" thickBot="1">
      <c r="A389" s="68"/>
      <c r="B389" s="69"/>
      <c r="C389" s="70" t="s">
        <v>112</v>
      </c>
      <c r="D389" s="71">
        <f>SUM(D390,D397,D402)</f>
        <v>227670</v>
      </c>
      <c r="E389" s="15"/>
    </row>
    <row r="390" spans="1:5" ht="13.5" thickBot="1">
      <c r="A390" s="62">
        <v>750</v>
      </c>
      <c r="B390" s="63"/>
      <c r="C390" s="64" t="s">
        <v>32</v>
      </c>
      <c r="D390" s="65">
        <f>SUM(D391)</f>
        <v>81090</v>
      </c>
      <c r="E390" s="15"/>
    </row>
    <row r="391" spans="1:5" ht="12.75">
      <c r="A391" s="59">
        <v>75011</v>
      </c>
      <c r="B391" s="60"/>
      <c r="C391" s="61" t="s">
        <v>113</v>
      </c>
      <c r="D391" s="28">
        <f>SUM(D392:D396)</f>
        <v>81090</v>
      </c>
      <c r="E391" s="15"/>
    </row>
    <row r="392" spans="1:5" ht="12.75">
      <c r="A392" s="21"/>
      <c r="B392" s="27">
        <v>4010</v>
      </c>
      <c r="C392" s="18" t="s">
        <v>37</v>
      </c>
      <c r="D392" s="22">
        <v>60824</v>
      </c>
      <c r="E392" s="15"/>
    </row>
    <row r="393" spans="1:5" ht="12.75">
      <c r="A393" s="21"/>
      <c r="B393" s="27">
        <v>4040</v>
      </c>
      <c r="C393" s="18" t="s">
        <v>38</v>
      </c>
      <c r="D393" s="22">
        <v>8100</v>
      </c>
      <c r="E393" s="15"/>
    </row>
    <row r="394" spans="1:5" ht="12.75">
      <c r="A394" s="21"/>
      <c r="B394" s="27">
        <v>4110</v>
      </c>
      <c r="C394" s="18" t="s">
        <v>39</v>
      </c>
      <c r="D394" s="22">
        <v>10396</v>
      </c>
      <c r="E394" s="15"/>
    </row>
    <row r="395" spans="1:5" ht="12.75">
      <c r="A395" s="21"/>
      <c r="B395" s="27">
        <v>4120</v>
      </c>
      <c r="C395" s="18" t="s">
        <v>40</v>
      </c>
      <c r="D395" s="22">
        <v>1770</v>
      </c>
      <c r="E395" s="15"/>
    </row>
    <row r="396" spans="1:5" ht="13.5" thickBot="1">
      <c r="A396" s="66"/>
      <c r="B396" s="56">
        <v>4440</v>
      </c>
      <c r="C396" s="57" t="s">
        <v>50</v>
      </c>
      <c r="D396" s="58">
        <v>0</v>
      </c>
      <c r="E396" s="15"/>
    </row>
    <row r="397" spans="1:5" ht="26.25" thickBot="1">
      <c r="A397" s="62">
        <v>751</v>
      </c>
      <c r="B397" s="63"/>
      <c r="C397" s="64" t="s">
        <v>114</v>
      </c>
      <c r="D397" s="65">
        <f>SUM(D398)</f>
        <v>1800</v>
      </c>
      <c r="E397" s="15"/>
    </row>
    <row r="398" spans="1:5" ht="25.5">
      <c r="A398" s="59">
        <v>75101</v>
      </c>
      <c r="B398" s="60"/>
      <c r="C398" s="61" t="s">
        <v>115</v>
      </c>
      <c r="D398" s="28">
        <f>SUM(D399:D401)</f>
        <v>1800</v>
      </c>
      <c r="E398" s="15"/>
    </row>
    <row r="399" spans="1:5" ht="12.75">
      <c r="A399" s="31"/>
      <c r="B399" s="27">
        <v>4010</v>
      </c>
      <c r="C399" s="27" t="s">
        <v>37</v>
      </c>
      <c r="D399" s="22">
        <v>1506</v>
      </c>
      <c r="E399" s="15"/>
    </row>
    <row r="400" spans="1:5" ht="12.75">
      <c r="A400" s="21"/>
      <c r="B400" s="27">
        <v>4110</v>
      </c>
      <c r="C400" s="18" t="s">
        <v>39</v>
      </c>
      <c r="D400" s="22">
        <v>257</v>
      </c>
      <c r="E400" s="15"/>
    </row>
    <row r="401" spans="1:5" ht="13.5" thickBot="1">
      <c r="A401" s="66"/>
      <c r="B401" s="56">
        <v>4120</v>
      </c>
      <c r="C401" s="57" t="s">
        <v>40</v>
      </c>
      <c r="D401" s="58">
        <v>37</v>
      </c>
      <c r="E401" s="15"/>
    </row>
    <row r="402" spans="1:5" ht="13.5" thickBot="1">
      <c r="A402" s="62">
        <v>852</v>
      </c>
      <c r="B402" s="63"/>
      <c r="C402" s="64" t="s">
        <v>88</v>
      </c>
      <c r="D402" s="65">
        <f>SUM(D403,D413,D415)</f>
        <v>144780</v>
      </c>
      <c r="E402" s="15"/>
    </row>
    <row r="403" spans="1:5" ht="25.5">
      <c r="A403" s="59">
        <v>85212</v>
      </c>
      <c r="B403" s="60"/>
      <c r="C403" s="61" t="s">
        <v>116</v>
      </c>
      <c r="D403" s="72">
        <f>SUM(D404:D412)</f>
        <v>110280</v>
      </c>
      <c r="E403" s="15"/>
    </row>
    <row r="404" spans="1:5" ht="12.75">
      <c r="A404" s="21"/>
      <c r="B404" s="27">
        <v>3110</v>
      </c>
      <c r="C404" s="18" t="s">
        <v>91</v>
      </c>
      <c r="D404" s="22">
        <v>0</v>
      </c>
      <c r="E404" s="15"/>
    </row>
    <row r="405" spans="1:5" ht="12.75">
      <c r="A405" s="21"/>
      <c r="B405" s="27">
        <v>4010</v>
      </c>
      <c r="C405" s="18" t="s">
        <v>37</v>
      </c>
      <c r="D405" s="22">
        <v>70649</v>
      </c>
      <c r="E405" s="15"/>
    </row>
    <row r="406" spans="1:5" ht="12.75">
      <c r="A406" s="21"/>
      <c r="B406" s="27">
        <v>4040</v>
      </c>
      <c r="C406" s="18" t="s">
        <v>38</v>
      </c>
      <c r="D406" s="22">
        <v>5217</v>
      </c>
      <c r="E406" s="15"/>
    </row>
    <row r="407" spans="1:9" ht="12.75">
      <c r="A407" s="21"/>
      <c r="B407" s="27">
        <v>4110</v>
      </c>
      <c r="C407" s="18" t="s">
        <v>39</v>
      </c>
      <c r="D407" s="22">
        <v>32554</v>
      </c>
      <c r="E407" s="15"/>
      <c r="G407" s="15">
        <v>-6500</v>
      </c>
      <c r="I407">
        <v>-44500</v>
      </c>
    </row>
    <row r="408" spans="1:9" ht="12.75">
      <c r="A408" s="21"/>
      <c r="B408" s="27">
        <v>4120</v>
      </c>
      <c r="C408" s="18" t="s">
        <v>40</v>
      </c>
      <c r="D408" s="22">
        <v>1860</v>
      </c>
      <c r="E408" s="15"/>
      <c r="G408" s="15"/>
      <c r="I408">
        <v>-7560</v>
      </c>
    </row>
    <row r="409" spans="1:9" ht="12.75">
      <c r="A409" s="21"/>
      <c r="B409" s="27">
        <v>4210</v>
      </c>
      <c r="C409" s="18" t="s">
        <v>14</v>
      </c>
      <c r="D409" s="22"/>
      <c r="E409" s="15"/>
      <c r="G409" s="15">
        <v>-1105</v>
      </c>
      <c r="I409">
        <v>-1440</v>
      </c>
    </row>
    <row r="410" spans="1:9" ht="12.75">
      <c r="A410" s="21"/>
      <c r="B410" s="27">
        <v>4300</v>
      </c>
      <c r="C410" s="18" t="s">
        <v>15</v>
      </c>
      <c r="D410" s="22"/>
      <c r="E410" s="15"/>
      <c r="I410">
        <v>-1500</v>
      </c>
    </row>
    <row r="411" spans="1:9" ht="12.75">
      <c r="A411" s="21"/>
      <c r="B411" s="27">
        <v>4410</v>
      </c>
      <c r="C411" s="18" t="s">
        <v>48</v>
      </c>
      <c r="D411" s="22"/>
      <c r="E411" s="15"/>
      <c r="G411">
        <v>-1500</v>
      </c>
      <c r="I411">
        <v>-6500</v>
      </c>
    </row>
    <row r="412" spans="1:9" ht="12.75">
      <c r="A412" s="21"/>
      <c r="B412" s="27">
        <v>4440</v>
      </c>
      <c r="C412" s="18" t="s">
        <v>50</v>
      </c>
      <c r="D412" s="22"/>
      <c r="E412" s="15"/>
      <c r="G412" s="15">
        <v>-44500</v>
      </c>
      <c r="I412">
        <v>-1105</v>
      </c>
    </row>
    <row r="413" spans="1:9" ht="38.25">
      <c r="A413" s="31">
        <v>85213</v>
      </c>
      <c r="B413" s="26"/>
      <c r="C413" s="19" t="s">
        <v>117</v>
      </c>
      <c r="D413" s="20">
        <f>SUM(D414)</f>
        <v>34500</v>
      </c>
      <c r="E413" s="15"/>
      <c r="G413" s="15"/>
      <c r="I413">
        <v>-47500</v>
      </c>
    </row>
    <row r="414" spans="1:9" ht="12.75">
      <c r="A414" s="21"/>
      <c r="B414" s="27">
        <v>4130</v>
      </c>
      <c r="C414" s="18" t="s">
        <v>118</v>
      </c>
      <c r="D414" s="22">
        <v>34500</v>
      </c>
      <c r="E414" s="15"/>
      <c r="G414" s="15">
        <v>-7560</v>
      </c>
      <c r="I414">
        <v>-8075</v>
      </c>
    </row>
    <row r="415" spans="1:9" ht="25.5">
      <c r="A415" s="31">
        <v>85214</v>
      </c>
      <c r="B415" s="26"/>
      <c r="C415" s="19" t="s">
        <v>119</v>
      </c>
      <c r="D415" s="20">
        <f>SUM(D416:D416)</f>
        <v>0</v>
      </c>
      <c r="E415" s="15"/>
      <c r="G415" s="15">
        <f>-1185-255</f>
        <v>-1440</v>
      </c>
      <c r="I415">
        <v>-1463</v>
      </c>
    </row>
    <row r="416" spans="1:9" ht="13.5" thickBot="1">
      <c r="A416" s="53"/>
      <c r="B416" s="54">
        <v>3110</v>
      </c>
      <c r="C416" s="23" t="s">
        <v>91</v>
      </c>
      <c r="D416" s="24">
        <v>0</v>
      </c>
      <c r="E416" s="15"/>
      <c r="G416" s="15">
        <v>-47500</v>
      </c>
      <c r="I416">
        <f>SUM(I407:I415)</f>
        <v>-119643</v>
      </c>
    </row>
    <row r="417" spans="1:7" ht="13.5" thickBot="1">
      <c r="A417" s="181" t="s">
        <v>120</v>
      </c>
      <c r="B417" s="182"/>
      <c r="C417" s="183"/>
      <c r="D417" s="73">
        <f>SUM(D389,D5)</f>
        <v>11292594.808</v>
      </c>
      <c r="E417" s="15">
        <f>SUM(E5:E416)</f>
        <v>0</v>
      </c>
      <c r="G417" s="15"/>
    </row>
    <row r="418" ht="12.75">
      <c r="G418" s="15">
        <v>-8075</v>
      </c>
    </row>
    <row r="419" ht="12.75">
      <c r="G419" s="15">
        <v>-1463</v>
      </c>
    </row>
    <row r="420" ht="12.75">
      <c r="G420" s="15">
        <f>SUM(G407:G419)</f>
        <v>-119643</v>
      </c>
    </row>
    <row r="421" spans="7:9" ht="12.75">
      <c r="G421">
        <f>11292595+119643</f>
        <v>11412238</v>
      </c>
      <c r="I421" s="15">
        <f>11412238-119643</f>
        <v>11292595</v>
      </c>
    </row>
  </sheetData>
  <sheetProtection/>
  <mergeCells count="1">
    <mergeCell ref="A417:C4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7"/>
  <sheetViews>
    <sheetView zoomScalePageLayoutView="0" workbookViewId="0" topLeftCell="A397">
      <selection activeCell="H415" sqref="H415"/>
    </sheetView>
  </sheetViews>
  <sheetFormatPr defaultColWidth="9.00390625" defaultRowHeight="12.75"/>
  <cols>
    <col min="1" max="1" width="6.75390625" style="0" customWidth="1"/>
    <col min="2" max="2" width="5.625" style="0" customWidth="1"/>
    <col min="3" max="3" width="41.75390625" style="0" customWidth="1"/>
    <col min="4" max="4" width="14.00390625" style="0" customWidth="1"/>
  </cols>
  <sheetData>
    <row r="1" spans="1:4" ht="12.75">
      <c r="A1" s="4"/>
      <c r="B1" s="4"/>
      <c r="C1" s="180" t="s">
        <v>124</v>
      </c>
      <c r="D1" s="180"/>
    </row>
    <row r="2" spans="1:4" ht="12.75">
      <c r="A2" s="4"/>
      <c r="B2" s="4"/>
      <c r="C2" s="30"/>
      <c r="D2" s="30"/>
    </row>
    <row r="3" spans="1:4" ht="12.75">
      <c r="A3" s="4"/>
      <c r="B3" s="4"/>
      <c r="C3" s="25"/>
      <c r="D3" s="5"/>
    </row>
    <row r="4" spans="1:4" ht="12.75">
      <c r="A4" s="6" t="s">
        <v>123</v>
      </c>
      <c r="B4" s="7"/>
      <c r="C4" s="8"/>
      <c r="D4" s="8"/>
    </row>
    <row r="5" spans="1:4" ht="13.5" thickBot="1">
      <c r="A5" s="6"/>
      <c r="B5" s="7"/>
      <c r="C5" s="8"/>
      <c r="D5" s="8"/>
    </row>
    <row r="6" spans="1:5" ht="26.25" thickBot="1">
      <c r="A6" s="32" t="s">
        <v>0</v>
      </c>
      <c r="B6" s="33" t="s">
        <v>1</v>
      </c>
      <c r="C6" s="34" t="s">
        <v>2</v>
      </c>
      <c r="D6" s="37" t="s">
        <v>121</v>
      </c>
      <c r="E6" s="15" t="s">
        <v>141</v>
      </c>
    </row>
    <row r="7" spans="1:5" ht="13.5" thickBot="1">
      <c r="A7" s="35">
        <v>1</v>
      </c>
      <c r="B7" s="9">
        <v>2</v>
      </c>
      <c r="C7" s="9">
        <v>3</v>
      </c>
      <c r="D7" s="38">
        <v>4</v>
      </c>
      <c r="E7" s="75"/>
    </row>
    <row r="8" spans="1:5" ht="13.5" thickBot="1">
      <c r="A8" s="36"/>
      <c r="B8" s="11"/>
      <c r="C8" s="12" t="s">
        <v>3</v>
      </c>
      <c r="D8" s="39">
        <f>SUM(D9,D21,D24,D39,D46,D53,D99,D119,D126,D131,D134,D275,D291,D320,D337,D360,D377)</f>
        <v>852013</v>
      </c>
      <c r="E8" s="15"/>
    </row>
    <row r="9" spans="1:5" ht="13.5" thickBot="1">
      <c r="A9" s="40" t="s">
        <v>4</v>
      </c>
      <c r="B9" s="41"/>
      <c r="C9" s="42" t="s">
        <v>5</v>
      </c>
      <c r="D9" s="43">
        <f>SUM(D10,D15,D17)</f>
        <v>0</v>
      </c>
      <c r="E9" s="15"/>
    </row>
    <row r="10" spans="1:5" ht="12.75">
      <c r="A10" s="45" t="s">
        <v>6</v>
      </c>
      <c r="B10" s="46"/>
      <c r="C10" s="47" t="s">
        <v>7</v>
      </c>
      <c r="D10" s="48">
        <f>SUM(D11:D14)</f>
        <v>0</v>
      </c>
      <c r="E10" s="15"/>
    </row>
    <row r="11" spans="1:5" ht="12.75">
      <c r="A11" s="49"/>
      <c r="B11" s="27">
        <v>4300</v>
      </c>
      <c r="C11" s="18" t="s">
        <v>15</v>
      </c>
      <c r="D11" s="22"/>
      <c r="E11" s="15"/>
    </row>
    <row r="12" spans="1:5" ht="12.75">
      <c r="A12" s="49"/>
      <c r="B12" s="27">
        <v>6058</v>
      </c>
      <c r="C12" s="18" t="s">
        <v>26</v>
      </c>
      <c r="D12" s="22"/>
      <c r="E12" s="15"/>
    </row>
    <row r="13" spans="1:5" ht="12.75">
      <c r="A13" s="49"/>
      <c r="B13" s="27">
        <v>6059</v>
      </c>
      <c r="C13" s="18" t="s">
        <v>26</v>
      </c>
      <c r="D13" s="22"/>
      <c r="E13" s="15"/>
    </row>
    <row r="14" spans="1:5" ht="45">
      <c r="A14" s="50"/>
      <c r="B14" s="27">
        <v>6659</v>
      </c>
      <c r="C14" s="44" t="s">
        <v>8</v>
      </c>
      <c r="D14" s="22"/>
      <c r="E14" s="15"/>
    </row>
    <row r="15" spans="1:5" ht="12.75">
      <c r="A15" s="49" t="s">
        <v>9</v>
      </c>
      <c r="B15" s="26"/>
      <c r="C15" s="19" t="s">
        <v>10</v>
      </c>
      <c r="D15" s="20">
        <f>SUM(D16)</f>
        <v>0</v>
      </c>
      <c r="E15" s="15"/>
    </row>
    <row r="16" spans="1:5" ht="38.25">
      <c r="A16" s="50"/>
      <c r="B16" s="27">
        <v>2850</v>
      </c>
      <c r="C16" s="18" t="s">
        <v>11</v>
      </c>
      <c r="D16" s="22">
        <v>0</v>
      </c>
      <c r="E16" s="15"/>
    </row>
    <row r="17" spans="1:5" ht="12.75">
      <c r="A17" s="49" t="s">
        <v>12</v>
      </c>
      <c r="B17" s="26"/>
      <c r="C17" s="19" t="s">
        <v>13</v>
      </c>
      <c r="D17" s="20">
        <f>SUM(D18:D20)</f>
        <v>0</v>
      </c>
      <c r="E17" s="15"/>
    </row>
    <row r="18" spans="1:5" ht="12.75">
      <c r="A18" s="50"/>
      <c r="B18" s="27">
        <v>4210</v>
      </c>
      <c r="C18" s="18" t="s">
        <v>14</v>
      </c>
      <c r="D18" s="22"/>
      <c r="E18" s="15"/>
    </row>
    <row r="19" spans="1:5" ht="12.75">
      <c r="A19" s="50"/>
      <c r="B19" s="27">
        <v>4300</v>
      </c>
      <c r="C19" s="18" t="s">
        <v>15</v>
      </c>
      <c r="D19" s="22"/>
      <c r="E19" s="15"/>
    </row>
    <row r="20" spans="1:5" ht="13.5" thickBot="1">
      <c r="A20" s="55"/>
      <c r="B20" s="56">
        <v>4430</v>
      </c>
      <c r="C20" s="57" t="s">
        <v>16</v>
      </c>
      <c r="D20" s="58"/>
      <c r="E20" s="15"/>
    </row>
    <row r="21" spans="1:5" ht="13.5" thickBot="1">
      <c r="A21" s="62">
        <v>500</v>
      </c>
      <c r="B21" s="63"/>
      <c r="C21" s="64" t="s">
        <v>17</v>
      </c>
      <c r="D21" s="65">
        <f>SUM(D22)</f>
        <v>0</v>
      </c>
      <c r="E21" s="15"/>
    </row>
    <row r="22" spans="1:5" ht="12.75">
      <c r="A22" s="59">
        <v>50095</v>
      </c>
      <c r="B22" s="60"/>
      <c r="C22" s="61" t="s">
        <v>13</v>
      </c>
      <c r="D22" s="28">
        <f>SUM(D23:D23)</f>
        <v>0</v>
      </c>
      <c r="E22" s="15"/>
    </row>
    <row r="23" spans="1:5" ht="13.5" thickBot="1">
      <c r="A23" s="66"/>
      <c r="B23" s="56">
        <v>4300</v>
      </c>
      <c r="C23" s="57" t="s">
        <v>15</v>
      </c>
      <c r="D23" s="58"/>
      <c r="E23" s="15"/>
    </row>
    <row r="24" spans="1:5" ht="13.5" thickBot="1">
      <c r="A24" s="62">
        <v>600</v>
      </c>
      <c r="B24" s="63"/>
      <c r="C24" s="64" t="s">
        <v>18</v>
      </c>
      <c r="D24" s="65">
        <f>SUM(D25,D29,D27,D31)</f>
        <v>192387</v>
      </c>
      <c r="E24" s="15"/>
    </row>
    <row r="25" spans="1:5" ht="12.75">
      <c r="A25" s="59">
        <v>60004</v>
      </c>
      <c r="B25" s="60"/>
      <c r="C25" s="61" t="s">
        <v>19</v>
      </c>
      <c r="D25" s="28">
        <f>SUM(D26)</f>
        <v>42387</v>
      </c>
      <c r="E25" s="15"/>
    </row>
    <row r="26" spans="1:5" ht="45">
      <c r="A26" s="21"/>
      <c r="B26" s="27">
        <v>2310</v>
      </c>
      <c r="C26" s="44" t="s">
        <v>20</v>
      </c>
      <c r="D26" s="22">
        <v>42387</v>
      </c>
      <c r="E26" s="15">
        <v>781</v>
      </c>
    </row>
    <row r="27" spans="1:5" ht="12.75">
      <c r="A27" s="31">
        <v>60013</v>
      </c>
      <c r="B27" s="26"/>
      <c r="C27" s="19" t="s">
        <v>138</v>
      </c>
      <c r="D27" s="20">
        <f>SUM(D28:D28)</f>
        <v>50000</v>
      </c>
      <c r="E27" s="15"/>
    </row>
    <row r="28" spans="1:5" ht="33.75">
      <c r="A28" s="51"/>
      <c r="B28" s="27">
        <v>2710</v>
      </c>
      <c r="C28" s="44" t="s">
        <v>22</v>
      </c>
      <c r="D28" s="22">
        <v>50000</v>
      </c>
      <c r="E28" s="15">
        <v>50000</v>
      </c>
    </row>
    <row r="29" spans="1:5" ht="12.75">
      <c r="A29" s="31">
        <v>60014</v>
      </c>
      <c r="B29" s="26"/>
      <c r="C29" s="19" t="s">
        <v>21</v>
      </c>
      <c r="D29" s="20">
        <f>SUM(D30:D30)</f>
        <v>100000</v>
      </c>
      <c r="E29" s="15"/>
    </row>
    <row r="30" spans="1:5" ht="33.75">
      <c r="A30" s="51"/>
      <c r="B30" s="27">
        <v>2710</v>
      </c>
      <c r="C30" s="44" t="s">
        <v>22</v>
      </c>
      <c r="D30" s="22">
        <v>100000</v>
      </c>
      <c r="E30" s="76"/>
    </row>
    <row r="31" spans="1:5" ht="12.75">
      <c r="A31" s="31">
        <v>60016</v>
      </c>
      <c r="B31" s="26"/>
      <c r="C31" s="19" t="s">
        <v>23</v>
      </c>
      <c r="D31" s="20">
        <f>SUM(D32:D38)</f>
        <v>0</v>
      </c>
      <c r="E31" s="15"/>
    </row>
    <row r="32" spans="1:5" ht="12.75">
      <c r="A32" s="21"/>
      <c r="B32" s="27">
        <v>4270</v>
      </c>
      <c r="C32" s="18" t="s">
        <v>24</v>
      </c>
      <c r="D32" s="22"/>
      <c r="E32" s="15"/>
    </row>
    <row r="33" spans="1:5" ht="12.75">
      <c r="A33" s="21"/>
      <c r="B33" s="27">
        <v>4300</v>
      </c>
      <c r="C33" s="18" t="s">
        <v>15</v>
      </c>
      <c r="D33" s="22"/>
      <c r="E33" s="15">
        <v>-781</v>
      </c>
    </row>
    <row r="34" spans="1:5" ht="12.75">
      <c r="A34" s="21"/>
      <c r="B34" s="27">
        <v>4430</v>
      </c>
      <c r="C34" s="18" t="s">
        <v>16</v>
      </c>
      <c r="D34" s="22"/>
      <c r="E34" s="15"/>
    </row>
    <row r="35" spans="1:5" ht="25.5">
      <c r="A35" s="21"/>
      <c r="B35" s="27">
        <v>4590</v>
      </c>
      <c r="C35" s="18" t="s">
        <v>25</v>
      </c>
      <c r="D35" s="22"/>
      <c r="E35" s="15"/>
    </row>
    <row r="36" spans="1:5" ht="12.75">
      <c r="A36" s="21"/>
      <c r="B36" s="27">
        <v>6050</v>
      </c>
      <c r="C36" s="18" t="s">
        <v>26</v>
      </c>
      <c r="D36" s="22"/>
      <c r="E36" s="15">
        <v>50000</v>
      </c>
    </row>
    <row r="37" spans="1:5" ht="12.75">
      <c r="A37" s="21"/>
      <c r="B37" s="27">
        <v>6058</v>
      </c>
      <c r="C37" s="18" t="s">
        <v>26</v>
      </c>
      <c r="D37" s="22"/>
      <c r="E37" s="15"/>
    </row>
    <row r="38" spans="1:5" ht="13.5" thickBot="1">
      <c r="A38" s="66"/>
      <c r="B38" s="56">
        <v>6059</v>
      </c>
      <c r="C38" s="57" t="s">
        <v>26</v>
      </c>
      <c r="D38" s="58"/>
      <c r="E38" s="15"/>
    </row>
    <row r="39" spans="1:5" ht="13.5" thickBot="1">
      <c r="A39" s="62">
        <v>700</v>
      </c>
      <c r="B39" s="63"/>
      <c r="C39" s="64" t="s">
        <v>27</v>
      </c>
      <c r="D39" s="65">
        <f>SUM(D40,D44)</f>
        <v>0</v>
      </c>
      <c r="E39" s="15"/>
    </row>
    <row r="40" spans="1:5" ht="12.75">
      <c r="A40" s="59">
        <v>70005</v>
      </c>
      <c r="B40" s="60"/>
      <c r="C40" s="61" t="s">
        <v>28</v>
      </c>
      <c r="D40" s="28">
        <f>SUM(D41:D43)</f>
        <v>0</v>
      </c>
      <c r="E40" s="15"/>
    </row>
    <row r="41" spans="1:5" ht="12.75">
      <c r="A41" s="31"/>
      <c r="B41" s="27">
        <v>4260</v>
      </c>
      <c r="C41" s="18" t="s">
        <v>43</v>
      </c>
      <c r="D41" s="22"/>
      <c r="E41" s="15"/>
    </row>
    <row r="42" spans="1:5" ht="12.75">
      <c r="A42" s="21"/>
      <c r="B42" s="27">
        <v>4300</v>
      </c>
      <c r="C42" s="18" t="s">
        <v>15</v>
      </c>
      <c r="D42" s="22"/>
      <c r="E42" s="15"/>
    </row>
    <row r="43" spans="1:5" ht="25.5">
      <c r="A43" s="21"/>
      <c r="B43" s="27">
        <v>4590</v>
      </c>
      <c r="C43" s="18" t="s">
        <v>25</v>
      </c>
      <c r="D43" s="22"/>
      <c r="E43" s="15"/>
    </row>
    <row r="44" spans="1:5" ht="12.75">
      <c r="A44" s="31">
        <v>70095</v>
      </c>
      <c r="B44" s="26"/>
      <c r="C44" s="19" t="s">
        <v>13</v>
      </c>
      <c r="D44" s="20">
        <f>SUM(D45:D45)</f>
        <v>0</v>
      </c>
      <c r="E44" s="15"/>
    </row>
    <row r="45" spans="1:5" ht="13.5" thickBot="1">
      <c r="A45" s="66"/>
      <c r="B45" s="56">
        <v>4300</v>
      </c>
      <c r="C45" s="57" t="s">
        <v>15</v>
      </c>
      <c r="D45" s="58"/>
      <c r="E45" s="15"/>
    </row>
    <row r="46" spans="1:5" ht="13.5" thickBot="1">
      <c r="A46" s="62">
        <v>710</v>
      </c>
      <c r="B46" s="63"/>
      <c r="C46" s="64" t="s">
        <v>29</v>
      </c>
      <c r="D46" s="65">
        <f>SUM(D47,D49,D51)</f>
        <v>0</v>
      </c>
      <c r="E46" s="15"/>
    </row>
    <row r="47" spans="1:5" ht="12.75">
      <c r="A47" s="59">
        <v>71004</v>
      </c>
      <c r="B47" s="60"/>
      <c r="C47" s="61" t="s">
        <v>30</v>
      </c>
      <c r="D47" s="28">
        <f>SUM(D48:D48)</f>
        <v>0</v>
      </c>
      <c r="E47" s="15"/>
    </row>
    <row r="48" spans="1:5" ht="12.75">
      <c r="A48" s="21"/>
      <c r="B48" s="27">
        <v>4300</v>
      </c>
      <c r="C48" s="18" t="s">
        <v>15</v>
      </c>
      <c r="D48" s="22"/>
      <c r="E48" s="15"/>
    </row>
    <row r="49" spans="1:5" ht="25.5">
      <c r="A49" s="31">
        <v>71013</v>
      </c>
      <c r="B49" s="26"/>
      <c r="C49" s="19" t="s">
        <v>31</v>
      </c>
      <c r="D49" s="20">
        <f>SUM(D50)</f>
        <v>0</v>
      </c>
      <c r="E49" s="15"/>
    </row>
    <row r="50" spans="1:5" ht="12.75">
      <c r="A50" s="21"/>
      <c r="B50" s="27">
        <v>4300</v>
      </c>
      <c r="C50" s="18" t="s">
        <v>15</v>
      </c>
      <c r="D50" s="22"/>
      <c r="E50" s="15"/>
    </row>
    <row r="51" spans="1:5" ht="12.75">
      <c r="A51" s="31">
        <v>71095</v>
      </c>
      <c r="B51" s="26"/>
      <c r="C51" s="19" t="s">
        <v>13</v>
      </c>
      <c r="D51" s="20">
        <f>SUM(D52)</f>
        <v>0</v>
      </c>
      <c r="E51" s="15"/>
    </row>
    <row r="52" spans="1:5" ht="13.5" thickBot="1">
      <c r="A52" s="66"/>
      <c r="B52" s="56">
        <v>4300</v>
      </c>
      <c r="C52" s="57" t="s">
        <v>15</v>
      </c>
      <c r="D52" s="58"/>
      <c r="E52" s="15"/>
    </row>
    <row r="53" spans="1:5" ht="13.5" thickBot="1">
      <c r="A53" s="62">
        <v>750</v>
      </c>
      <c r="B53" s="63"/>
      <c r="C53" s="64" t="s">
        <v>32</v>
      </c>
      <c r="D53" s="65">
        <f>SUM(D54,D60,D86,D89)</f>
        <v>0</v>
      </c>
      <c r="E53" s="15"/>
    </row>
    <row r="54" spans="1:5" ht="25.5">
      <c r="A54" s="59">
        <v>75022</v>
      </c>
      <c r="B54" s="60"/>
      <c r="C54" s="61" t="s">
        <v>33</v>
      </c>
      <c r="D54" s="28">
        <f>SUM(D55:D59)</f>
        <v>0</v>
      </c>
      <c r="E54" s="15"/>
    </row>
    <row r="55" spans="1:5" ht="12.75">
      <c r="A55" s="21"/>
      <c r="B55" s="27">
        <v>3030</v>
      </c>
      <c r="C55" s="18" t="s">
        <v>34</v>
      </c>
      <c r="D55" s="22"/>
      <c r="E55" s="15"/>
    </row>
    <row r="56" spans="1:5" ht="12.75">
      <c r="A56" s="21"/>
      <c r="B56" s="27">
        <v>4210</v>
      </c>
      <c r="C56" s="18" t="s">
        <v>14</v>
      </c>
      <c r="D56" s="22"/>
      <c r="E56" s="15"/>
    </row>
    <row r="57" spans="1:5" ht="12.75">
      <c r="A57" s="21"/>
      <c r="B57" s="27">
        <v>4300</v>
      </c>
      <c r="C57" s="18" t="s">
        <v>15</v>
      </c>
      <c r="D57" s="22"/>
      <c r="E57" s="15"/>
    </row>
    <row r="58" spans="1:5" ht="12.75">
      <c r="A58" s="21"/>
      <c r="B58" s="27">
        <v>4410</v>
      </c>
      <c r="C58" s="18" t="s">
        <v>48</v>
      </c>
      <c r="D58" s="22"/>
      <c r="E58" s="15"/>
    </row>
    <row r="59" spans="1:5" ht="12.75">
      <c r="A59" s="21"/>
      <c r="B59" s="27">
        <v>4430</v>
      </c>
      <c r="C59" s="18" t="s">
        <v>16</v>
      </c>
      <c r="D59" s="22"/>
      <c r="E59" s="15"/>
    </row>
    <row r="60" spans="1:5" ht="25.5">
      <c r="A60" s="31">
        <v>75023</v>
      </c>
      <c r="B60" s="26"/>
      <c r="C60" s="19" t="s">
        <v>35</v>
      </c>
      <c r="D60" s="20">
        <f>SUM(D61:D85)</f>
        <v>0</v>
      </c>
      <c r="E60" s="15"/>
    </row>
    <row r="61" spans="1:5" ht="25.5">
      <c r="A61" s="21"/>
      <c r="B61" s="27">
        <v>3020</v>
      </c>
      <c r="C61" s="18" t="s">
        <v>36</v>
      </c>
      <c r="D61" s="22"/>
      <c r="E61" s="15"/>
    </row>
    <row r="62" spans="1:5" ht="12.75">
      <c r="A62" s="21"/>
      <c r="B62" s="27">
        <v>4010</v>
      </c>
      <c r="C62" s="18" t="s">
        <v>37</v>
      </c>
      <c r="D62" s="22"/>
      <c r="E62" s="15"/>
    </row>
    <row r="63" spans="1:5" ht="12.75">
      <c r="A63" s="21"/>
      <c r="B63" s="27">
        <v>4040</v>
      </c>
      <c r="C63" s="18" t="s">
        <v>38</v>
      </c>
      <c r="D63" s="22"/>
      <c r="E63" s="15"/>
    </row>
    <row r="64" spans="1:5" ht="12.75">
      <c r="A64" s="21"/>
      <c r="B64" s="27">
        <v>4110</v>
      </c>
      <c r="C64" s="18" t="s">
        <v>39</v>
      </c>
      <c r="D64" s="22"/>
      <c r="E64" s="15"/>
    </row>
    <row r="65" spans="1:5" ht="12.75">
      <c r="A65" s="21"/>
      <c r="B65" s="27">
        <v>4120</v>
      </c>
      <c r="C65" s="18" t="s">
        <v>40</v>
      </c>
      <c r="D65" s="22"/>
      <c r="E65" s="15"/>
    </row>
    <row r="66" spans="1:5" ht="25.5">
      <c r="A66" s="21"/>
      <c r="B66" s="27">
        <v>4140</v>
      </c>
      <c r="C66" s="18" t="s">
        <v>41</v>
      </c>
      <c r="D66" s="22"/>
      <c r="E66" s="15"/>
    </row>
    <row r="67" spans="1:5" ht="12.75">
      <c r="A67" s="21"/>
      <c r="B67" s="27">
        <v>4170</v>
      </c>
      <c r="C67" s="18" t="s">
        <v>42</v>
      </c>
      <c r="D67" s="22"/>
      <c r="E67" s="15"/>
    </row>
    <row r="68" spans="1:5" ht="12.75">
      <c r="A68" s="21"/>
      <c r="B68" s="27">
        <v>4210</v>
      </c>
      <c r="C68" s="18" t="s">
        <v>14</v>
      </c>
      <c r="D68" s="22"/>
      <c r="E68" s="15">
        <v>-17200</v>
      </c>
    </row>
    <row r="69" spans="1:5" ht="25.5">
      <c r="A69" s="21"/>
      <c r="B69" s="27">
        <v>4240</v>
      </c>
      <c r="C69" s="18" t="s">
        <v>74</v>
      </c>
      <c r="D69" s="22"/>
      <c r="E69" s="15">
        <v>17000</v>
      </c>
    </row>
    <row r="70" spans="1:5" ht="12.75">
      <c r="A70" s="21"/>
      <c r="B70" s="27">
        <v>4260</v>
      </c>
      <c r="C70" s="18" t="s">
        <v>43</v>
      </c>
      <c r="D70" s="22"/>
      <c r="E70" s="15"/>
    </row>
    <row r="71" spans="1:5" ht="12.75">
      <c r="A71" s="21"/>
      <c r="B71" s="27">
        <v>4270</v>
      </c>
      <c r="C71" s="18" t="s">
        <v>24</v>
      </c>
      <c r="D71" s="22"/>
      <c r="E71" s="15"/>
    </row>
    <row r="72" spans="1:5" ht="12.75">
      <c r="A72" s="21"/>
      <c r="B72" s="27">
        <v>4280</v>
      </c>
      <c r="C72" s="18" t="s">
        <v>44</v>
      </c>
      <c r="D72" s="22"/>
      <c r="E72" s="15"/>
    </row>
    <row r="73" spans="1:5" ht="12.75">
      <c r="A73" s="21"/>
      <c r="B73" s="27">
        <v>4300</v>
      </c>
      <c r="C73" s="18" t="s">
        <v>15</v>
      </c>
      <c r="D73" s="22"/>
      <c r="E73" s="15">
        <v>30000</v>
      </c>
    </row>
    <row r="74" spans="1:5" ht="12.75">
      <c r="A74" s="21"/>
      <c r="B74" s="27">
        <v>4350</v>
      </c>
      <c r="C74" s="18" t="s">
        <v>45</v>
      </c>
      <c r="D74" s="22"/>
      <c r="E74" s="15"/>
    </row>
    <row r="75" spans="1:5" ht="25.5">
      <c r="A75" s="21"/>
      <c r="B75" s="27">
        <v>4360</v>
      </c>
      <c r="C75" s="18" t="s">
        <v>46</v>
      </c>
      <c r="D75" s="22"/>
      <c r="E75" s="15"/>
    </row>
    <row r="76" spans="1:5" ht="25.5">
      <c r="A76" s="21"/>
      <c r="B76" s="27">
        <v>4370</v>
      </c>
      <c r="C76" s="18" t="s">
        <v>47</v>
      </c>
      <c r="D76" s="22"/>
      <c r="E76" s="15"/>
    </row>
    <row r="77" spans="1:5" ht="12.75">
      <c r="A77" s="21"/>
      <c r="B77" s="27">
        <v>4410</v>
      </c>
      <c r="C77" s="18" t="s">
        <v>48</v>
      </c>
      <c r="D77" s="22"/>
      <c r="E77" s="15"/>
    </row>
    <row r="78" spans="1:5" ht="12.75">
      <c r="A78" s="21"/>
      <c r="B78" s="27">
        <v>4420</v>
      </c>
      <c r="C78" s="18" t="s">
        <v>49</v>
      </c>
      <c r="D78" s="22"/>
      <c r="E78" s="15"/>
    </row>
    <row r="79" spans="1:5" ht="12.75">
      <c r="A79" s="21"/>
      <c r="B79" s="27">
        <v>4430</v>
      </c>
      <c r="C79" s="18" t="s">
        <v>16</v>
      </c>
      <c r="D79" s="22"/>
      <c r="E79" s="15"/>
    </row>
    <row r="80" spans="1:5" ht="25.5">
      <c r="A80" s="21"/>
      <c r="B80" s="27">
        <v>4440</v>
      </c>
      <c r="C80" s="18" t="s">
        <v>50</v>
      </c>
      <c r="D80" s="22"/>
      <c r="E80" s="15"/>
    </row>
    <row r="81" spans="1:5" ht="12.75">
      <c r="A81" s="21"/>
      <c r="B81" s="27">
        <v>4580</v>
      </c>
      <c r="C81" s="18" t="s">
        <v>140</v>
      </c>
      <c r="D81" s="22"/>
      <c r="E81" s="15">
        <v>100</v>
      </c>
    </row>
    <row r="82" spans="1:5" ht="25.5">
      <c r="A82" s="21"/>
      <c r="B82" s="27">
        <v>4610</v>
      </c>
      <c r="C82" s="18" t="s">
        <v>139</v>
      </c>
      <c r="D82" s="22"/>
      <c r="E82" s="15">
        <v>100</v>
      </c>
    </row>
    <row r="83" spans="1:5" ht="25.5">
      <c r="A83" s="21"/>
      <c r="B83" s="27">
        <v>4700</v>
      </c>
      <c r="C83" s="18" t="s">
        <v>51</v>
      </c>
      <c r="D83" s="22"/>
      <c r="E83" s="15"/>
    </row>
    <row r="84" spans="1:5" ht="25.5">
      <c r="A84" s="21"/>
      <c r="B84" s="27">
        <v>4740</v>
      </c>
      <c r="C84" s="18" t="s">
        <v>52</v>
      </c>
      <c r="D84" s="22"/>
      <c r="E84" s="15"/>
    </row>
    <row r="85" spans="1:5" ht="25.5">
      <c r="A85" s="21"/>
      <c r="B85" s="27">
        <v>4750</v>
      </c>
      <c r="C85" s="18" t="s">
        <v>53</v>
      </c>
      <c r="D85" s="22"/>
      <c r="E85" s="15"/>
    </row>
    <row r="86" spans="1:5" ht="25.5">
      <c r="A86" s="31">
        <v>75075</v>
      </c>
      <c r="B86" s="26"/>
      <c r="C86" s="19" t="s">
        <v>54</v>
      </c>
      <c r="D86" s="20">
        <f>SUM(D87:D88)</f>
        <v>0</v>
      </c>
      <c r="E86" s="15"/>
    </row>
    <row r="87" spans="1:5" ht="12.75">
      <c r="A87" s="31"/>
      <c r="B87" s="27">
        <v>4210</v>
      </c>
      <c r="C87" s="27" t="s">
        <v>14</v>
      </c>
      <c r="D87" s="22"/>
      <c r="E87" s="15"/>
    </row>
    <row r="88" spans="1:5" ht="12.75">
      <c r="A88" s="21"/>
      <c r="B88" s="27">
        <v>4300</v>
      </c>
      <c r="C88" s="18" t="s">
        <v>15</v>
      </c>
      <c r="D88" s="22"/>
      <c r="E88" s="15"/>
    </row>
    <row r="89" spans="1:5" ht="12.75">
      <c r="A89" s="31">
        <v>75095</v>
      </c>
      <c r="B89" s="26"/>
      <c r="C89" s="19" t="s">
        <v>13</v>
      </c>
      <c r="D89" s="20">
        <f>SUM(D90:D98)</f>
        <v>0</v>
      </c>
      <c r="E89" s="15"/>
    </row>
    <row r="90" spans="1:5" ht="12.75">
      <c r="A90" s="21"/>
      <c r="B90" s="27">
        <v>4210</v>
      </c>
      <c r="C90" s="18" t="s">
        <v>14</v>
      </c>
      <c r="D90" s="22"/>
      <c r="E90" s="15"/>
    </row>
    <row r="91" spans="1:5" ht="12.75">
      <c r="A91" s="21"/>
      <c r="B91" s="27">
        <v>4260</v>
      </c>
      <c r="C91" s="18" t="s">
        <v>43</v>
      </c>
      <c r="D91" s="22"/>
      <c r="E91" s="15"/>
    </row>
    <row r="92" spans="1:5" ht="12.75">
      <c r="A92" s="21"/>
      <c r="B92" s="27">
        <v>4270</v>
      </c>
      <c r="C92" s="18" t="s">
        <v>24</v>
      </c>
      <c r="D92" s="22"/>
      <c r="E92" s="15"/>
    </row>
    <row r="93" spans="1:5" ht="12.75">
      <c r="A93" s="21"/>
      <c r="B93" s="27">
        <v>4300</v>
      </c>
      <c r="C93" s="18" t="s">
        <v>15</v>
      </c>
      <c r="D93" s="22"/>
      <c r="E93" s="15"/>
    </row>
    <row r="94" spans="1:5" ht="12.75">
      <c r="A94" s="21"/>
      <c r="B94" s="27">
        <v>4350</v>
      </c>
      <c r="C94" s="18" t="s">
        <v>55</v>
      </c>
      <c r="D94" s="22"/>
      <c r="E94" s="15"/>
    </row>
    <row r="95" spans="1:5" ht="25.5">
      <c r="A95" s="21"/>
      <c r="B95" s="27">
        <v>4370</v>
      </c>
      <c r="C95" s="18" t="s">
        <v>47</v>
      </c>
      <c r="D95" s="22"/>
      <c r="E95" s="15"/>
    </row>
    <row r="96" spans="1:5" ht="25.5">
      <c r="A96" s="21"/>
      <c r="B96" s="27">
        <v>4400</v>
      </c>
      <c r="C96" s="18" t="s">
        <v>56</v>
      </c>
      <c r="D96" s="22"/>
      <c r="E96" s="15"/>
    </row>
    <row r="97" spans="1:5" ht="12.75">
      <c r="A97" s="21"/>
      <c r="B97" s="27">
        <v>4430</v>
      </c>
      <c r="C97" s="18" t="s">
        <v>16</v>
      </c>
      <c r="D97" s="22"/>
      <c r="E97" s="15"/>
    </row>
    <row r="98" spans="1:5" ht="26.25" thickBot="1">
      <c r="A98" s="66"/>
      <c r="B98" s="56">
        <v>4750</v>
      </c>
      <c r="C98" s="57" t="s">
        <v>53</v>
      </c>
      <c r="D98" s="58"/>
      <c r="E98" s="15"/>
    </row>
    <row r="99" spans="1:5" ht="26.25" thickBot="1">
      <c r="A99" s="62">
        <v>754</v>
      </c>
      <c r="B99" s="63"/>
      <c r="C99" s="64" t="s">
        <v>57</v>
      </c>
      <c r="D99" s="65">
        <f>D100+D102+D115+D117</f>
        <v>25000</v>
      </c>
      <c r="E99" s="15"/>
    </row>
    <row r="100" spans="1:5" ht="12.75">
      <c r="A100" s="59">
        <v>75404</v>
      </c>
      <c r="B100" s="60"/>
      <c r="C100" s="61" t="s">
        <v>126</v>
      </c>
      <c r="D100" s="28">
        <f>D101</f>
        <v>0</v>
      </c>
      <c r="E100" s="15"/>
    </row>
    <row r="101" spans="1:5" ht="22.5">
      <c r="A101" s="52"/>
      <c r="B101" s="27">
        <v>6170</v>
      </c>
      <c r="C101" s="44" t="s">
        <v>127</v>
      </c>
      <c r="D101" s="22"/>
      <c r="E101" s="15"/>
    </row>
    <row r="102" spans="1:5" ht="12.75">
      <c r="A102" s="31">
        <v>75412</v>
      </c>
      <c r="B102" s="26"/>
      <c r="C102" s="19" t="s">
        <v>58</v>
      </c>
      <c r="D102" s="20">
        <f>SUM(D103:D114)</f>
        <v>25000</v>
      </c>
      <c r="E102" s="15"/>
    </row>
    <row r="103" spans="1:5" ht="33.75">
      <c r="A103" s="52"/>
      <c r="B103" s="27">
        <v>2820</v>
      </c>
      <c r="C103" s="44" t="s">
        <v>59</v>
      </c>
      <c r="D103" s="22">
        <v>25000</v>
      </c>
      <c r="E103" s="76">
        <v>-100000</v>
      </c>
    </row>
    <row r="104" spans="1:5" ht="12.75">
      <c r="A104" s="21"/>
      <c r="B104" s="27">
        <v>3030</v>
      </c>
      <c r="C104" s="18" t="s">
        <v>34</v>
      </c>
      <c r="D104" s="22"/>
      <c r="E104" s="15"/>
    </row>
    <row r="105" spans="1:5" ht="12.75">
      <c r="A105" s="21"/>
      <c r="B105" s="27">
        <v>4110</v>
      </c>
      <c r="C105" s="18" t="s">
        <v>39</v>
      </c>
      <c r="D105" s="22"/>
      <c r="E105" s="15"/>
    </row>
    <row r="106" spans="1:5" ht="12.75">
      <c r="A106" s="21"/>
      <c r="B106" s="27">
        <v>4120</v>
      </c>
      <c r="C106" s="18" t="s">
        <v>40</v>
      </c>
      <c r="D106" s="22"/>
      <c r="E106" s="15"/>
    </row>
    <row r="107" spans="1:5" ht="12.75">
      <c r="A107" s="21"/>
      <c r="B107" s="27">
        <v>4170</v>
      </c>
      <c r="C107" s="18" t="s">
        <v>42</v>
      </c>
      <c r="D107" s="22"/>
      <c r="E107" s="15"/>
    </row>
    <row r="108" spans="1:5" ht="12.75">
      <c r="A108" s="21"/>
      <c r="B108" s="27">
        <v>4210</v>
      </c>
      <c r="C108" s="18" t="s">
        <v>14</v>
      </c>
      <c r="D108" s="22"/>
      <c r="E108" s="15"/>
    </row>
    <row r="109" spans="1:5" ht="12.75">
      <c r="A109" s="21"/>
      <c r="B109" s="27">
        <v>4250</v>
      </c>
      <c r="C109" s="18" t="s">
        <v>60</v>
      </c>
      <c r="D109" s="22"/>
      <c r="E109" s="15"/>
    </row>
    <row r="110" spans="1:5" ht="12.75">
      <c r="A110" s="21"/>
      <c r="B110" s="27">
        <v>4260</v>
      </c>
      <c r="C110" s="18" t="s">
        <v>43</v>
      </c>
      <c r="D110" s="22"/>
      <c r="E110" s="15"/>
    </row>
    <row r="111" spans="1:5" ht="12.75">
      <c r="A111" s="21"/>
      <c r="B111" s="27">
        <v>4270</v>
      </c>
      <c r="C111" s="18" t="s">
        <v>24</v>
      </c>
      <c r="D111" s="22"/>
      <c r="E111" s="15"/>
    </row>
    <row r="112" spans="1:5" ht="12.75">
      <c r="A112" s="21"/>
      <c r="B112" s="27">
        <v>4280</v>
      </c>
      <c r="C112" s="18" t="s">
        <v>44</v>
      </c>
      <c r="D112" s="22"/>
      <c r="E112" s="15"/>
    </row>
    <row r="113" spans="1:5" ht="12.75">
      <c r="A113" s="21"/>
      <c r="B113" s="27">
        <v>4300</v>
      </c>
      <c r="C113" s="18" t="s">
        <v>15</v>
      </c>
      <c r="D113" s="22"/>
      <c r="E113" s="15"/>
    </row>
    <row r="114" spans="1:5" ht="12.75">
      <c r="A114" s="21"/>
      <c r="B114" s="27">
        <v>4430</v>
      </c>
      <c r="C114" s="18" t="s">
        <v>16</v>
      </c>
      <c r="D114" s="22"/>
      <c r="E114" s="15"/>
    </row>
    <row r="115" spans="1:5" ht="12.75">
      <c r="A115" s="31">
        <v>75421</v>
      </c>
      <c r="B115" s="26"/>
      <c r="C115" s="19" t="s">
        <v>62</v>
      </c>
      <c r="D115" s="20">
        <f>SUM(D116)</f>
        <v>0</v>
      </c>
      <c r="E115" s="15"/>
    </row>
    <row r="116" spans="1:5" ht="12.75">
      <c r="A116" s="66"/>
      <c r="B116" s="56">
        <v>4810</v>
      </c>
      <c r="C116" s="57" t="s">
        <v>133</v>
      </c>
      <c r="D116" s="58"/>
      <c r="E116" s="15"/>
    </row>
    <row r="117" spans="1:5" ht="12.75">
      <c r="A117" s="31">
        <v>75495</v>
      </c>
      <c r="B117" s="26"/>
      <c r="C117" s="19" t="s">
        <v>13</v>
      </c>
      <c r="D117" s="20">
        <f>SUM(D118)</f>
        <v>0</v>
      </c>
      <c r="E117" s="15"/>
    </row>
    <row r="118" spans="1:5" ht="13.5" thickBot="1">
      <c r="A118" s="66"/>
      <c r="B118" s="56">
        <v>6050</v>
      </c>
      <c r="C118" s="57" t="s">
        <v>26</v>
      </c>
      <c r="D118" s="58"/>
      <c r="E118" s="15">
        <v>30000</v>
      </c>
    </row>
    <row r="119" spans="1:5" ht="51.75" thickBot="1">
      <c r="A119" s="62">
        <v>756</v>
      </c>
      <c r="B119" s="63"/>
      <c r="C119" s="64" t="s">
        <v>64</v>
      </c>
      <c r="D119" s="65">
        <f>SUM(D120)</f>
        <v>0</v>
      </c>
      <c r="E119" s="15"/>
    </row>
    <row r="120" spans="1:5" ht="25.5">
      <c r="A120" s="59">
        <v>75647</v>
      </c>
      <c r="B120" s="60"/>
      <c r="C120" s="61" t="s">
        <v>65</v>
      </c>
      <c r="D120" s="28">
        <f>SUM(D121:D125)</f>
        <v>0</v>
      </c>
      <c r="E120" s="15"/>
    </row>
    <row r="121" spans="1:5" ht="12.75">
      <c r="A121" s="21"/>
      <c r="B121" s="27">
        <v>4100</v>
      </c>
      <c r="C121" s="18" t="s">
        <v>66</v>
      </c>
      <c r="D121" s="22"/>
      <c r="E121" s="15"/>
    </row>
    <row r="122" spans="1:5" ht="12.75">
      <c r="A122" s="21"/>
      <c r="B122" s="27">
        <v>4110</v>
      </c>
      <c r="C122" s="18" t="s">
        <v>39</v>
      </c>
      <c r="D122" s="22"/>
      <c r="E122" s="15"/>
    </row>
    <row r="123" spans="1:5" ht="12.75">
      <c r="A123" s="21"/>
      <c r="B123" s="27">
        <v>4120</v>
      </c>
      <c r="C123" s="18" t="s">
        <v>40</v>
      </c>
      <c r="D123" s="22"/>
      <c r="E123" s="15"/>
    </row>
    <row r="124" spans="1:5" ht="12.75">
      <c r="A124" s="21"/>
      <c r="B124" s="27">
        <v>4210</v>
      </c>
      <c r="C124" s="18" t="s">
        <v>14</v>
      </c>
      <c r="D124" s="22"/>
      <c r="E124" s="15"/>
    </row>
    <row r="125" spans="1:5" ht="13.5" thickBot="1">
      <c r="A125" s="66"/>
      <c r="B125" s="56">
        <v>4300</v>
      </c>
      <c r="C125" s="57" t="s">
        <v>15</v>
      </c>
      <c r="D125" s="58"/>
      <c r="E125" s="15"/>
    </row>
    <row r="126" spans="1:5" ht="13.5" thickBot="1">
      <c r="A126" s="62">
        <v>757</v>
      </c>
      <c r="B126" s="63"/>
      <c r="C126" s="64" t="s">
        <v>67</v>
      </c>
      <c r="D126" s="65">
        <f>D129+D127</f>
        <v>0</v>
      </c>
      <c r="E126" s="15"/>
    </row>
    <row r="127" spans="1:5" ht="38.25">
      <c r="A127" s="59">
        <v>75702</v>
      </c>
      <c r="B127" s="60"/>
      <c r="C127" s="61" t="s">
        <v>68</v>
      </c>
      <c r="D127" s="28">
        <f>SUM(D128:D128)</f>
        <v>0</v>
      </c>
      <c r="E127" s="15"/>
    </row>
    <row r="128" spans="1:5" ht="38.25">
      <c r="A128" s="66"/>
      <c r="B128" s="56">
        <v>8070</v>
      </c>
      <c r="C128" s="57" t="s">
        <v>69</v>
      </c>
      <c r="D128" s="58"/>
      <c r="E128" s="15"/>
    </row>
    <row r="129" spans="1:5" ht="38.25">
      <c r="A129" s="31">
        <v>75704</v>
      </c>
      <c r="B129" s="26"/>
      <c r="C129" s="19" t="s">
        <v>143</v>
      </c>
      <c r="D129" s="20">
        <f>SUM(D130:D130)</f>
        <v>0</v>
      </c>
      <c r="E129" s="15"/>
    </row>
    <row r="130" spans="1:5" ht="13.5" thickBot="1">
      <c r="A130" s="53"/>
      <c r="B130" s="54">
        <v>8020</v>
      </c>
      <c r="C130" s="23" t="s">
        <v>142</v>
      </c>
      <c r="D130" s="24"/>
      <c r="E130" s="15">
        <v>19643</v>
      </c>
    </row>
    <row r="131" spans="1:5" ht="13.5" thickBot="1">
      <c r="A131" s="62">
        <v>758</v>
      </c>
      <c r="B131" s="63"/>
      <c r="C131" s="64" t="s">
        <v>70</v>
      </c>
      <c r="D131" s="65">
        <f>SUM(D132)</f>
        <v>0</v>
      </c>
      <c r="E131" s="15"/>
    </row>
    <row r="132" spans="1:5" ht="12.75">
      <c r="A132" s="59">
        <v>75818</v>
      </c>
      <c r="B132" s="60"/>
      <c r="C132" s="61" t="s">
        <v>63</v>
      </c>
      <c r="D132" s="28">
        <f>SUM(D133)</f>
        <v>0</v>
      </c>
      <c r="E132" s="15"/>
    </row>
    <row r="133" spans="1:5" ht="13.5" thickBot="1">
      <c r="A133" s="66"/>
      <c r="B133" s="56">
        <v>4810</v>
      </c>
      <c r="C133" s="57" t="s">
        <v>133</v>
      </c>
      <c r="D133" s="58"/>
      <c r="E133" s="15"/>
    </row>
    <row r="134" spans="1:5" ht="13.5" thickBot="1">
      <c r="A134" s="62">
        <v>801</v>
      </c>
      <c r="B134" s="63"/>
      <c r="C134" s="64" t="s">
        <v>71</v>
      </c>
      <c r="D134" s="65">
        <f>SUM(D135,D157,D171,D196,D218,D232,D252,D256,D272)</f>
        <v>20000</v>
      </c>
      <c r="E134" s="15"/>
    </row>
    <row r="135" spans="1:5" ht="12.75">
      <c r="A135" s="59">
        <v>80101</v>
      </c>
      <c r="B135" s="60"/>
      <c r="C135" s="61" t="s">
        <v>72</v>
      </c>
      <c r="D135" s="28">
        <f>SUM(D136:D156)</f>
        <v>0</v>
      </c>
      <c r="E135" s="15"/>
    </row>
    <row r="136" spans="1:5" ht="25.5">
      <c r="A136" s="21"/>
      <c r="B136" s="27">
        <v>3020</v>
      </c>
      <c r="C136" s="18" t="s">
        <v>73</v>
      </c>
      <c r="D136" s="22"/>
      <c r="E136" s="15"/>
    </row>
    <row r="137" spans="1:5" ht="12.75">
      <c r="A137" s="21"/>
      <c r="B137" s="27">
        <v>4010</v>
      </c>
      <c r="C137" s="18" t="s">
        <v>37</v>
      </c>
      <c r="D137" s="22"/>
      <c r="E137" s="15">
        <v>-44500</v>
      </c>
    </row>
    <row r="138" spans="1:5" ht="12.75">
      <c r="A138" s="21"/>
      <c r="B138" s="27">
        <v>4040</v>
      </c>
      <c r="C138" s="18" t="s">
        <v>38</v>
      </c>
      <c r="D138" s="22"/>
      <c r="E138" s="15"/>
    </row>
    <row r="139" spans="1:5" ht="12.75">
      <c r="A139" s="21"/>
      <c r="B139" s="27">
        <v>4110</v>
      </c>
      <c r="C139" s="18" t="s">
        <v>39</v>
      </c>
      <c r="D139" s="22"/>
      <c r="E139" s="15">
        <v>-7560</v>
      </c>
    </row>
    <row r="140" spans="1:5" ht="12.75">
      <c r="A140" s="21"/>
      <c r="B140" s="27">
        <v>4120</v>
      </c>
      <c r="C140" s="18" t="s">
        <v>40</v>
      </c>
      <c r="D140" s="22"/>
      <c r="E140" s="15">
        <f>-1185-255</f>
        <v>-1440</v>
      </c>
    </row>
    <row r="141" spans="1:5" ht="12.75">
      <c r="A141" s="21"/>
      <c r="B141" s="27">
        <v>4170</v>
      </c>
      <c r="C141" s="18" t="s">
        <v>42</v>
      </c>
      <c r="D141" s="22"/>
      <c r="E141" s="15"/>
    </row>
    <row r="142" spans="1:5" ht="12.75">
      <c r="A142" s="21"/>
      <c r="B142" s="27">
        <v>4210</v>
      </c>
      <c r="C142" s="18" t="s">
        <v>14</v>
      </c>
      <c r="D142" s="22"/>
      <c r="E142" s="15"/>
    </row>
    <row r="143" spans="1:5" ht="25.5">
      <c r="A143" s="21"/>
      <c r="B143" s="27">
        <v>4240</v>
      </c>
      <c r="C143" s="18" t="s">
        <v>74</v>
      </c>
      <c r="D143" s="22"/>
      <c r="E143" s="15"/>
    </row>
    <row r="144" spans="1:5" ht="12.75">
      <c r="A144" s="21"/>
      <c r="B144" s="27">
        <v>4260</v>
      </c>
      <c r="C144" s="18" t="s">
        <v>43</v>
      </c>
      <c r="D144" s="22"/>
      <c r="E144" s="15"/>
    </row>
    <row r="145" spans="1:5" ht="12.75">
      <c r="A145" s="21"/>
      <c r="B145" s="27">
        <v>4270</v>
      </c>
      <c r="C145" s="18" t="s">
        <v>24</v>
      </c>
      <c r="D145" s="22"/>
      <c r="E145" s="15"/>
    </row>
    <row r="146" spans="1:5" ht="12.75">
      <c r="A146" s="21"/>
      <c r="B146" s="27">
        <v>4280</v>
      </c>
      <c r="C146" s="18" t="s">
        <v>44</v>
      </c>
      <c r="D146" s="22"/>
      <c r="E146" s="15"/>
    </row>
    <row r="147" spans="1:5" ht="12.75">
      <c r="A147" s="21"/>
      <c r="B147" s="27">
        <v>4300</v>
      </c>
      <c r="C147" s="18" t="s">
        <v>15</v>
      </c>
      <c r="D147" s="22"/>
      <c r="E147" s="15"/>
    </row>
    <row r="148" spans="1:5" ht="12.75">
      <c r="A148" s="21"/>
      <c r="B148" s="27">
        <v>4350</v>
      </c>
      <c r="C148" s="18" t="s">
        <v>45</v>
      </c>
      <c r="D148" s="22"/>
      <c r="E148" s="15"/>
    </row>
    <row r="149" spans="1:5" ht="25.5">
      <c r="A149" s="21"/>
      <c r="B149" s="27">
        <v>4360</v>
      </c>
      <c r="C149" s="18" t="s">
        <v>46</v>
      </c>
      <c r="D149" s="22"/>
      <c r="E149" s="15"/>
    </row>
    <row r="150" spans="1:5" ht="25.5">
      <c r="A150" s="21"/>
      <c r="B150" s="27">
        <v>4370</v>
      </c>
      <c r="C150" s="18" t="s">
        <v>47</v>
      </c>
      <c r="D150" s="22"/>
      <c r="E150" s="15"/>
    </row>
    <row r="151" spans="1:5" ht="12.75">
      <c r="A151" s="21"/>
      <c r="B151" s="27">
        <v>4410</v>
      </c>
      <c r="C151" s="18" t="s">
        <v>48</v>
      </c>
      <c r="D151" s="22"/>
      <c r="E151" s="15"/>
    </row>
    <row r="152" spans="1:5" ht="12.75">
      <c r="A152" s="21"/>
      <c r="B152" s="27">
        <v>4430</v>
      </c>
      <c r="C152" s="18" t="s">
        <v>16</v>
      </c>
      <c r="D152" s="22"/>
      <c r="E152" s="15"/>
    </row>
    <row r="153" spans="1:5" ht="25.5">
      <c r="A153" s="21"/>
      <c r="B153" s="27">
        <v>4440</v>
      </c>
      <c r="C153" s="18" t="s">
        <v>50</v>
      </c>
      <c r="D153" s="22"/>
      <c r="E153" s="15"/>
    </row>
    <row r="154" spans="1:5" ht="25.5">
      <c r="A154" s="21"/>
      <c r="B154" s="27">
        <v>4740</v>
      </c>
      <c r="C154" s="18" t="s">
        <v>52</v>
      </c>
      <c r="D154" s="22"/>
      <c r="E154" s="15"/>
    </row>
    <row r="155" spans="1:5" ht="25.5">
      <c r="A155" s="21"/>
      <c r="B155" s="27">
        <v>4750</v>
      </c>
      <c r="C155" s="18" t="s">
        <v>53</v>
      </c>
      <c r="D155" s="22"/>
      <c r="E155" s="15"/>
    </row>
    <row r="156" spans="1:5" ht="25.5">
      <c r="A156" s="21"/>
      <c r="B156" s="27">
        <v>6050</v>
      </c>
      <c r="C156" s="18" t="s">
        <v>61</v>
      </c>
      <c r="D156" s="22"/>
      <c r="E156" s="15"/>
    </row>
    <row r="157" spans="1:5" ht="25.5">
      <c r="A157" s="31">
        <v>80103</v>
      </c>
      <c r="B157" s="26"/>
      <c r="C157" s="19" t="s">
        <v>75</v>
      </c>
      <c r="D157" s="20">
        <f>SUM(D158:D170)</f>
        <v>0</v>
      </c>
      <c r="E157" s="15"/>
    </row>
    <row r="158" spans="1:5" ht="25.5">
      <c r="A158" s="31"/>
      <c r="B158" s="27">
        <v>3020</v>
      </c>
      <c r="C158" s="18" t="s">
        <v>73</v>
      </c>
      <c r="D158" s="22"/>
      <c r="E158" s="15"/>
    </row>
    <row r="159" spans="1:5" ht="12.75">
      <c r="A159" s="31"/>
      <c r="B159" s="27">
        <v>4010</v>
      </c>
      <c r="C159" s="18" t="s">
        <v>37</v>
      </c>
      <c r="D159" s="22"/>
      <c r="E159" s="15">
        <v>-1500</v>
      </c>
    </row>
    <row r="160" spans="1:5" ht="12.75">
      <c r="A160" s="31"/>
      <c r="B160" s="27">
        <v>4040</v>
      </c>
      <c r="C160" s="18" t="s">
        <v>38</v>
      </c>
      <c r="D160" s="22"/>
      <c r="E160" s="15"/>
    </row>
    <row r="161" spans="1:5" ht="12.75">
      <c r="A161" s="31"/>
      <c r="B161" s="27">
        <v>4110</v>
      </c>
      <c r="C161" s="18" t="s">
        <v>39</v>
      </c>
      <c r="D161" s="22"/>
      <c r="E161" s="15"/>
    </row>
    <row r="162" spans="1:5" ht="12.75">
      <c r="A162" s="31"/>
      <c r="B162" s="27">
        <v>4120</v>
      </c>
      <c r="C162" s="18" t="s">
        <v>40</v>
      </c>
      <c r="D162" s="22"/>
      <c r="E162" s="15"/>
    </row>
    <row r="163" spans="1:5" ht="12.75">
      <c r="A163" s="31"/>
      <c r="B163" s="27">
        <v>4210</v>
      </c>
      <c r="C163" s="18" t="s">
        <v>14</v>
      </c>
      <c r="D163" s="22"/>
      <c r="E163" s="15"/>
    </row>
    <row r="164" spans="1:5" ht="25.5">
      <c r="A164" s="31"/>
      <c r="B164" s="27">
        <v>4240</v>
      </c>
      <c r="C164" s="18" t="s">
        <v>74</v>
      </c>
      <c r="D164" s="22"/>
      <c r="E164" s="15"/>
    </row>
    <row r="165" spans="1:5" ht="12.75">
      <c r="A165" s="31"/>
      <c r="B165" s="27">
        <v>4270</v>
      </c>
      <c r="C165" s="18" t="s">
        <v>24</v>
      </c>
      <c r="D165" s="22"/>
      <c r="E165" s="15"/>
    </row>
    <row r="166" spans="1:5" ht="12.75">
      <c r="A166" s="31"/>
      <c r="B166" s="27">
        <v>4280</v>
      </c>
      <c r="C166" s="18" t="s">
        <v>44</v>
      </c>
      <c r="D166" s="22"/>
      <c r="E166" s="15"/>
    </row>
    <row r="167" spans="1:5" ht="12.75">
      <c r="A167" s="31"/>
      <c r="B167" s="27">
        <v>4300</v>
      </c>
      <c r="C167" s="18" t="s">
        <v>15</v>
      </c>
      <c r="D167" s="22"/>
      <c r="E167" s="15"/>
    </row>
    <row r="168" spans="1:5" ht="12.75">
      <c r="A168" s="21"/>
      <c r="B168" s="27">
        <v>4410</v>
      </c>
      <c r="C168" s="18" t="s">
        <v>48</v>
      </c>
      <c r="D168" s="22"/>
      <c r="E168" s="15"/>
    </row>
    <row r="169" spans="1:5" ht="25.5">
      <c r="A169" s="21"/>
      <c r="B169" s="27">
        <v>4440</v>
      </c>
      <c r="C169" s="18" t="s">
        <v>50</v>
      </c>
      <c r="D169" s="22"/>
      <c r="E169" s="15"/>
    </row>
    <row r="170" spans="1:5" ht="25.5">
      <c r="A170" s="21"/>
      <c r="B170" s="27">
        <v>4740</v>
      </c>
      <c r="C170" s="18" t="s">
        <v>52</v>
      </c>
      <c r="D170" s="22"/>
      <c r="E170" s="15"/>
    </row>
    <row r="171" spans="1:5" ht="12.75">
      <c r="A171" s="31">
        <v>80104</v>
      </c>
      <c r="B171" s="26"/>
      <c r="C171" s="19" t="s">
        <v>77</v>
      </c>
      <c r="D171" s="20">
        <f>SUM(D172:D195)</f>
        <v>20000</v>
      </c>
      <c r="E171" s="15"/>
    </row>
    <row r="172" spans="1:5" ht="45">
      <c r="A172" s="31"/>
      <c r="B172" s="27">
        <v>2310</v>
      </c>
      <c r="C172" s="44" t="s">
        <v>20</v>
      </c>
      <c r="D172" s="22">
        <v>20000</v>
      </c>
      <c r="E172" s="15"/>
    </row>
    <row r="173" spans="1:5" ht="25.5">
      <c r="A173" s="21"/>
      <c r="B173" s="27">
        <v>3020</v>
      </c>
      <c r="C173" s="18" t="s">
        <v>73</v>
      </c>
      <c r="D173" s="22"/>
      <c r="E173" s="15"/>
    </row>
    <row r="174" spans="1:5" ht="12.75">
      <c r="A174" s="21"/>
      <c r="B174" s="27">
        <v>4010</v>
      </c>
      <c r="C174" s="18" t="s">
        <v>37</v>
      </c>
      <c r="D174" s="22"/>
      <c r="E174" s="15">
        <v>-6500</v>
      </c>
    </row>
    <row r="175" spans="1:5" ht="12.75">
      <c r="A175" s="21"/>
      <c r="B175" s="27">
        <v>4040</v>
      </c>
      <c r="C175" s="18" t="s">
        <v>38</v>
      </c>
      <c r="D175" s="22"/>
      <c r="E175" s="15"/>
    </row>
    <row r="176" spans="1:5" ht="12.75">
      <c r="A176" s="21"/>
      <c r="B176" s="27">
        <v>4110</v>
      </c>
      <c r="C176" s="18" t="s">
        <v>39</v>
      </c>
      <c r="D176" s="22"/>
      <c r="E176" s="15">
        <v>-1105</v>
      </c>
    </row>
    <row r="177" spans="1:5" ht="12.75">
      <c r="A177" s="21"/>
      <c r="B177" s="27">
        <v>4120</v>
      </c>
      <c r="C177" s="18" t="s">
        <v>40</v>
      </c>
      <c r="D177" s="22"/>
      <c r="E177" s="15"/>
    </row>
    <row r="178" spans="1:5" ht="12.75">
      <c r="A178" s="21"/>
      <c r="B178" s="27">
        <v>4170</v>
      </c>
      <c r="C178" s="18" t="s">
        <v>42</v>
      </c>
      <c r="D178" s="22"/>
      <c r="E178" s="15"/>
    </row>
    <row r="179" spans="1:5" ht="12.75">
      <c r="A179" s="21"/>
      <c r="B179" s="27">
        <v>4210</v>
      </c>
      <c r="C179" s="18" t="s">
        <v>14</v>
      </c>
      <c r="D179" s="22"/>
      <c r="E179" s="15"/>
    </row>
    <row r="180" spans="1:5" ht="12.75">
      <c r="A180" s="21"/>
      <c r="B180" s="27">
        <v>4220</v>
      </c>
      <c r="C180" s="18" t="s">
        <v>78</v>
      </c>
      <c r="D180" s="22"/>
      <c r="E180" s="15"/>
    </row>
    <row r="181" spans="1:5" ht="12.75">
      <c r="A181" s="21"/>
      <c r="B181" s="27">
        <v>4240</v>
      </c>
      <c r="C181" s="18" t="s">
        <v>76</v>
      </c>
      <c r="D181" s="22"/>
      <c r="E181" s="15"/>
    </row>
    <row r="182" spans="1:5" ht="12.75">
      <c r="A182" s="21"/>
      <c r="B182" s="27">
        <v>4260</v>
      </c>
      <c r="C182" s="18" t="s">
        <v>43</v>
      </c>
      <c r="D182" s="22"/>
      <c r="E182" s="15"/>
    </row>
    <row r="183" spans="1:5" ht="12.75">
      <c r="A183" s="21"/>
      <c r="B183" s="27">
        <v>4270</v>
      </c>
      <c r="C183" s="18" t="s">
        <v>24</v>
      </c>
      <c r="D183" s="22"/>
      <c r="E183" s="15"/>
    </row>
    <row r="184" spans="1:5" ht="12.75">
      <c r="A184" s="21"/>
      <c r="B184" s="27">
        <v>4280</v>
      </c>
      <c r="C184" s="18" t="s">
        <v>44</v>
      </c>
      <c r="D184" s="22"/>
      <c r="E184" s="15"/>
    </row>
    <row r="185" spans="1:5" ht="12.75">
      <c r="A185" s="21"/>
      <c r="B185" s="27">
        <v>4300</v>
      </c>
      <c r="C185" s="18" t="s">
        <v>15</v>
      </c>
      <c r="D185" s="22"/>
      <c r="E185" s="15"/>
    </row>
    <row r="186" spans="1:5" ht="12.75">
      <c r="A186" s="21"/>
      <c r="B186" s="27">
        <v>4350</v>
      </c>
      <c r="C186" s="18" t="s">
        <v>45</v>
      </c>
      <c r="D186" s="22"/>
      <c r="E186" s="15"/>
    </row>
    <row r="187" spans="1:5" ht="25.5">
      <c r="A187" s="21"/>
      <c r="B187" s="27">
        <v>4370</v>
      </c>
      <c r="C187" s="18" t="s">
        <v>47</v>
      </c>
      <c r="D187" s="22"/>
      <c r="E187" s="15"/>
    </row>
    <row r="188" spans="1:5" ht="25.5">
      <c r="A188" s="21"/>
      <c r="B188" s="27">
        <v>4390</v>
      </c>
      <c r="C188" s="18" t="s">
        <v>79</v>
      </c>
      <c r="D188" s="22"/>
      <c r="E188" s="15"/>
    </row>
    <row r="189" spans="1:5" ht="12.75">
      <c r="A189" s="21"/>
      <c r="B189" s="27">
        <v>4410</v>
      </c>
      <c r="C189" s="18" t="s">
        <v>48</v>
      </c>
      <c r="D189" s="22"/>
      <c r="E189" s="15"/>
    </row>
    <row r="190" spans="1:5" ht="12.75">
      <c r="A190" s="21"/>
      <c r="B190" s="27">
        <v>4430</v>
      </c>
      <c r="C190" s="18" t="s">
        <v>16</v>
      </c>
      <c r="D190" s="22"/>
      <c r="E190" s="15"/>
    </row>
    <row r="191" spans="1:5" ht="25.5">
      <c r="A191" s="21"/>
      <c r="B191" s="27">
        <v>4440</v>
      </c>
      <c r="C191" s="18" t="s">
        <v>50</v>
      </c>
      <c r="D191" s="22"/>
      <c r="E191" s="15"/>
    </row>
    <row r="192" spans="1:5" ht="25.5">
      <c r="A192" s="21"/>
      <c r="B192" s="27">
        <v>4740</v>
      </c>
      <c r="C192" s="18" t="s">
        <v>52</v>
      </c>
      <c r="D192" s="22"/>
      <c r="E192" s="15"/>
    </row>
    <row r="193" spans="1:5" ht="25.5">
      <c r="A193" s="21"/>
      <c r="B193" s="27">
        <v>4750</v>
      </c>
      <c r="C193" s="18" t="s">
        <v>53</v>
      </c>
      <c r="D193" s="22"/>
      <c r="E193" s="15"/>
    </row>
    <row r="194" spans="1:5" ht="12.75">
      <c r="A194" s="21"/>
      <c r="B194" s="27">
        <v>6050</v>
      </c>
      <c r="C194" s="18" t="s">
        <v>26</v>
      </c>
      <c r="D194" s="22"/>
      <c r="E194" s="15"/>
    </row>
    <row r="195" spans="1:5" ht="25.5">
      <c r="A195" s="21"/>
      <c r="B195" s="27">
        <v>6060</v>
      </c>
      <c r="C195" s="18" t="s">
        <v>61</v>
      </c>
      <c r="D195" s="22"/>
      <c r="E195" s="15"/>
    </row>
    <row r="196" spans="1:5" ht="12.75">
      <c r="A196" s="31">
        <v>80110</v>
      </c>
      <c r="B196" s="26"/>
      <c r="C196" s="19" t="s">
        <v>80</v>
      </c>
      <c r="D196" s="20">
        <f>SUM(D197:D217)</f>
        <v>0</v>
      </c>
      <c r="E196" s="15"/>
    </row>
    <row r="197" spans="1:5" ht="25.5">
      <c r="A197" s="21"/>
      <c r="B197" s="27">
        <v>3020</v>
      </c>
      <c r="C197" s="18" t="s">
        <v>73</v>
      </c>
      <c r="D197" s="22"/>
      <c r="E197" s="15"/>
    </row>
    <row r="198" spans="1:5" ht="12.75">
      <c r="A198" s="21"/>
      <c r="B198" s="27">
        <v>4010</v>
      </c>
      <c r="C198" s="18" t="s">
        <v>37</v>
      </c>
      <c r="D198" s="22"/>
      <c r="E198" s="15">
        <v>-47500</v>
      </c>
    </row>
    <row r="199" spans="1:5" ht="12.75">
      <c r="A199" s="21"/>
      <c r="B199" s="27">
        <v>4040</v>
      </c>
      <c r="C199" s="18" t="s">
        <v>38</v>
      </c>
      <c r="D199" s="22"/>
      <c r="E199" s="15"/>
    </row>
    <row r="200" spans="1:5" ht="12.75">
      <c r="A200" s="21"/>
      <c r="B200" s="27">
        <v>4110</v>
      </c>
      <c r="C200" s="18" t="s">
        <v>39</v>
      </c>
      <c r="D200" s="22"/>
      <c r="E200" s="15">
        <v>-8075</v>
      </c>
    </row>
    <row r="201" spans="1:5" ht="12.75">
      <c r="A201" s="21"/>
      <c r="B201" s="27">
        <v>4120</v>
      </c>
      <c r="C201" s="18" t="s">
        <v>40</v>
      </c>
      <c r="D201" s="22"/>
      <c r="E201" s="15">
        <v>-1463</v>
      </c>
    </row>
    <row r="202" spans="1:5" ht="12.75">
      <c r="A202" s="21"/>
      <c r="B202" s="27">
        <v>4170</v>
      </c>
      <c r="C202" s="18" t="s">
        <v>42</v>
      </c>
      <c r="D202" s="22"/>
      <c r="E202" s="15"/>
    </row>
    <row r="203" spans="1:5" ht="12.75">
      <c r="A203" s="21"/>
      <c r="B203" s="27">
        <v>4210</v>
      </c>
      <c r="C203" s="18" t="s">
        <v>14</v>
      </c>
      <c r="D203" s="22"/>
      <c r="E203" s="15"/>
    </row>
    <row r="204" spans="1:5" ht="12.75">
      <c r="A204" s="21"/>
      <c r="B204" s="27">
        <v>4240</v>
      </c>
      <c r="C204" s="18" t="s">
        <v>76</v>
      </c>
      <c r="D204" s="22"/>
      <c r="E204" s="15">
        <v>10000</v>
      </c>
    </row>
    <row r="205" spans="1:5" ht="12.75">
      <c r="A205" s="21"/>
      <c r="B205" s="27">
        <v>4260</v>
      </c>
      <c r="C205" s="18" t="s">
        <v>43</v>
      </c>
      <c r="D205" s="22"/>
      <c r="E205" s="15"/>
    </row>
    <row r="206" spans="1:5" ht="12.75">
      <c r="A206" s="21"/>
      <c r="B206" s="27">
        <v>4270</v>
      </c>
      <c r="C206" s="18" t="s">
        <v>24</v>
      </c>
      <c r="D206" s="22"/>
      <c r="E206" s="15"/>
    </row>
    <row r="207" spans="1:5" ht="12.75">
      <c r="A207" s="21"/>
      <c r="B207" s="27">
        <v>4280</v>
      </c>
      <c r="C207" s="18" t="s">
        <v>44</v>
      </c>
      <c r="D207" s="22"/>
      <c r="E207" s="15"/>
    </row>
    <row r="208" spans="1:5" ht="12.75">
      <c r="A208" s="21"/>
      <c r="B208" s="27">
        <v>4300</v>
      </c>
      <c r="C208" s="18" t="s">
        <v>15</v>
      </c>
      <c r="D208" s="22"/>
      <c r="E208" s="15"/>
    </row>
    <row r="209" spans="1:5" ht="12.75">
      <c r="A209" s="21"/>
      <c r="B209" s="27">
        <v>4350</v>
      </c>
      <c r="C209" s="18" t="s">
        <v>45</v>
      </c>
      <c r="D209" s="22"/>
      <c r="E209" s="15"/>
    </row>
    <row r="210" spans="1:5" ht="25.5">
      <c r="A210" s="21"/>
      <c r="B210" s="27">
        <v>4360</v>
      </c>
      <c r="C210" s="18" t="s">
        <v>46</v>
      </c>
      <c r="D210" s="22"/>
      <c r="E210" s="15"/>
    </row>
    <row r="211" spans="1:5" ht="25.5">
      <c r="A211" s="21"/>
      <c r="B211" s="27">
        <v>4370</v>
      </c>
      <c r="C211" s="18" t="s">
        <v>47</v>
      </c>
      <c r="D211" s="22"/>
      <c r="E211" s="15"/>
    </row>
    <row r="212" spans="1:5" ht="12.75">
      <c r="A212" s="21"/>
      <c r="B212" s="27">
        <v>4410</v>
      </c>
      <c r="C212" s="18" t="s">
        <v>48</v>
      </c>
      <c r="D212" s="22"/>
      <c r="E212" s="15"/>
    </row>
    <row r="213" spans="1:5" ht="12.75">
      <c r="A213" s="21"/>
      <c r="B213" s="27">
        <v>4430</v>
      </c>
      <c r="C213" s="18" t="s">
        <v>16</v>
      </c>
      <c r="D213" s="22"/>
      <c r="E213" s="15"/>
    </row>
    <row r="214" spans="1:5" ht="25.5">
      <c r="A214" s="21"/>
      <c r="B214" s="27">
        <v>4440</v>
      </c>
      <c r="C214" s="18" t="s">
        <v>50</v>
      </c>
      <c r="D214" s="22"/>
      <c r="E214" s="15"/>
    </row>
    <row r="215" spans="1:5" ht="25.5">
      <c r="A215" s="21"/>
      <c r="B215" s="27">
        <v>4740</v>
      </c>
      <c r="C215" s="18" t="s">
        <v>52</v>
      </c>
      <c r="D215" s="22"/>
      <c r="E215" s="15"/>
    </row>
    <row r="216" spans="1:5" ht="25.5">
      <c r="A216" s="21"/>
      <c r="B216" s="27">
        <v>4750</v>
      </c>
      <c r="C216" s="18" t="s">
        <v>53</v>
      </c>
      <c r="D216" s="22"/>
      <c r="E216" s="15"/>
    </row>
    <row r="217" spans="1:5" ht="25.5">
      <c r="A217" s="21"/>
      <c r="B217" s="27">
        <v>6060</v>
      </c>
      <c r="C217" s="18" t="s">
        <v>61</v>
      </c>
      <c r="D217" s="22"/>
      <c r="E217" s="15"/>
    </row>
    <row r="218" spans="1:5" ht="12.75">
      <c r="A218" s="31">
        <v>80113</v>
      </c>
      <c r="B218" s="26"/>
      <c r="C218" s="19" t="s">
        <v>81</v>
      </c>
      <c r="D218" s="20">
        <f>SUM(D219:D231)</f>
        <v>0</v>
      </c>
      <c r="E218" s="15"/>
    </row>
    <row r="219" spans="1:5" ht="25.5">
      <c r="A219" s="31"/>
      <c r="B219" s="27">
        <v>3020</v>
      </c>
      <c r="C219" s="18" t="s">
        <v>73</v>
      </c>
      <c r="D219" s="22"/>
      <c r="E219" s="15"/>
    </row>
    <row r="220" spans="1:5" ht="12.75">
      <c r="A220" s="21"/>
      <c r="B220" s="27">
        <v>4010</v>
      </c>
      <c r="C220" s="18" t="s">
        <v>37</v>
      </c>
      <c r="D220" s="22"/>
      <c r="E220" s="15"/>
    </row>
    <row r="221" spans="1:5" ht="12.75">
      <c r="A221" s="21"/>
      <c r="B221" s="27">
        <v>4040</v>
      </c>
      <c r="C221" s="18" t="s">
        <v>38</v>
      </c>
      <c r="D221" s="22"/>
      <c r="E221" s="15"/>
    </row>
    <row r="222" spans="1:5" ht="12.75">
      <c r="A222" s="21"/>
      <c r="B222" s="27">
        <v>4110</v>
      </c>
      <c r="C222" s="18" t="s">
        <v>39</v>
      </c>
      <c r="D222" s="22"/>
      <c r="E222" s="15"/>
    </row>
    <row r="223" spans="1:5" ht="12.75">
      <c r="A223" s="21"/>
      <c r="B223" s="27">
        <v>4120</v>
      </c>
      <c r="C223" s="18" t="s">
        <v>40</v>
      </c>
      <c r="D223" s="22"/>
      <c r="E223" s="15"/>
    </row>
    <row r="224" spans="1:5" ht="12.75">
      <c r="A224" s="21"/>
      <c r="B224" s="27">
        <v>4210</v>
      </c>
      <c r="C224" s="18" t="s">
        <v>14</v>
      </c>
      <c r="D224" s="22"/>
      <c r="E224" s="15"/>
    </row>
    <row r="225" spans="1:5" ht="12.75">
      <c r="A225" s="21"/>
      <c r="B225" s="27">
        <v>4270</v>
      </c>
      <c r="C225" s="18" t="s">
        <v>24</v>
      </c>
      <c r="D225" s="22"/>
      <c r="E225" s="15"/>
    </row>
    <row r="226" spans="1:5" ht="12.75">
      <c r="A226" s="21"/>
      <c r="B226" s="27">
        <v>4280</v>
      </c>
      <c r="C226" s="18" t="s">
        <v>44</v>
      </c>
      <c r="D226" s="22"/>
      <c r="E226" s="15"/>
    </row>
    <row r="227" spans="1:5" ht="12.75">
      <c r="A227" s="21"/>
      <c r="B227" s="27">
        <v>4300</v>
      </c>
      <c r="C227" s="18" t="s">
        <v>15</v>
      </c>
      <c r="D227" s="22"/>
      <c r="E227" s="15">
        <v>-55000</v>
      </c>
    </row>
    <row r="228" spans="1:5" ht="25.5">
      <c r="A228" s="21"/>
      <c r="B228" s="27">
        <v>4360</v>
      </c>
      <c r="C228" s="18" t="s">
        <v>46</v>
      </c>
      <c r="D228" s="22"/>
      <c r="E228" s="15"/>
    </row>
    <row r="229" spans="1:5" ht="12.75">
      <c r="A229" s="21"/>
      <c r="B229" s="27">
        <v>4410</v>
      </c>
      <c r="C229" s="27" t="s">
        <v>48</v>
      </c>
      <c r="D229" s="22"/>
      <c r="E229" s="15"/>
    </row>
    <row r="230" spans="1:5" ht="12.75">
      <c r="A230" s="21"/>
      <c r="B230" s="27">
        <v>4430</v>
      </c>
      <c r="C230" s="18" t="s">
        <v>16</v>
      </c>
      <c r="D230" s="22"/>
      <c r="E230" s="15"/>
    </row>
    <row r="231" spans="1:5" ht="25.5">
      <c r="A231" s="21"/>
      <c r="B231" s="27">
        <v>4440</v>
      </c>
      <c r="C231" s="18" t="s">
        <v>50</v>
      </c>
      <c r="D231" s="22"/>
      <c r="E231" s="15"/>
    </row>
    <row r="232" spans="1:5" ht="25.5">
      <c r="A232" s="31">
        <v>80114</v>
      </c>
      <c r="B232" s="26"/>
      <c r="C232" s="19" t="s">
        <v>82</v>
      </c>
      <c r="D232" s="20">
        <f>SUM(D233:D251)</f>
        <v>0</v>
      </c>
      <c r="E232" s="15"/>
    </row>
    <row r="233" spans="1:5" ht="25.5">
      <c r="A233" s="31"/>
      <c r="B233" s="27">
        <v>3020</v>
      </c>
      <c r="C233" s="18" t="s">
        <v>73</v>
      </c>
      <c r="D233" s="22"/>
      <c r="E233" s="15"/>
    </row>
    <row r="234" spans="1:5" ht="12.75">
      <c r="A234" s="21"/>
      <c r="B234" s="27">
        <v>4010</v>
      </c>
      <c r="C234" s="18" t="s">
        <v>37</v>
      </c>
      <c r="D234" s="22"/>
      <c r="E234" s="15"/>
    </row>
    <row r="235" spans="1:5" ht="12.75">
      <c r="A235" s="21"/>
      <c r="B235" s="27">
        <v>4040</v>
      </c>
      <c r="C235" s="18" t="s">
        <v>38</v>
      </c>
      <c r="D235" s="22"/>
      <c r="E235" s="15"/>
    </row>
    <row r="236" spans="1:5" ht="12.75">
      <c r="A236" s="21"/>
      <c r="B236" s="27">
        <v>4110</v>
      </c>
      <c r="C236" s="18" t="s">
        <v>39</v>
      </c>
      <c r="D236" s="22"/>
      <c r="E236" s="15"/>
    </row>
    <row r="237" spans="1:5" ht="12.75">
      <c r="A237" s="21"/>
      <c r="B237" s="27">
        <v>4120</v>
      </c>
      <c r="C237" s="18" t="s">
        <v>40</v>
      </c>
      <c r="D237" s="22"/>
      <c r="E237" s="15"/>
    </row>
    <row r="238" spans="1:5" ht="12.75">
      <c r="A238" s="21"/>
      <c r="B238" s="27">
        <v>4170</v>
      </c>
      <c r="C238" s="18" t="s">
        <v>42</v>
      </c>
      <c r="D238" s="22"/>
      <c r="E238" s="15"/>
    </row>
    <row r="239" spans="1:5" ht="12.75">
      <c r="A239" s="21"/>
      <c r="B239" s="27">
        <v>4210</v>
      </c>
      <c r="C239" s="18" t="s">
        <v>14</v>
      </c>
      <c r="D239" s="22"/>
      <c r="E239" s="15"/>
    </row>
    <row r="240" spans="1:5" ht="12.75">
      <c r="A240" s="21"/>
      <c r="B240" s="27">
        <v>4260</v>
      </c>
      <c r="C240" s="18" t="s">
        <v>43</v>
      </c>
      <c r="D240" s="22"/>
      <c r="E240" s="15"/>
    </row>
    <row r="241" spans="1:5" ht="12.75">
      <c r="A241" s="21"/>
      <c r="B241" s="27">
        <v>4270</v>
      </c>
      <c r="C241" s="18" t="s">
        <v>24</v>
      </c>
      <c r="D241" s="22"/>
      <c r="E241" s="15"/>
    </row>
    <row r="242" spans="1:5" ht="12.75">
      <c r="A242" s="21"/>
      <c r="B242" s="27">
        <v>4280</v>
      </c>
      <c r="C242" s="18" t="s">
        <v>44</v>
      </c>
      <c r="D242" s="22"/>
      <c r="E242" s="15"/>
    </row>
    <row r="243" spans="1:5" ht="12.75">
      <c r="A243" s="21"/>
      <c r="B243" s="27">
        <v>4300</v>
      </c>
      <c r="C243" s="18" t="s">
        <v>15</v>
      </c>
      <c r="D243" s="22"/>
      <c r="E243" s="15"/>
    </row>
    <row r="244" spans="1:5" ht="12.75">
      <c r="A244" s="21"/>
      <c r="B244" s="27">
        <v>4350</v>
      </c>
      <c r="C244" s="18" t="s">
        <v>45</v>
      </c>
      <c r="D244" s="22"/>
      <c r="E244" s="15"/>
    </row>
    <row r="245" spans="1:5" ht="25.5">
      <c r="A245" s="21"/>
      <c r="B245" s="27">
        <v>4370</v>
      </c>
      <c r="C245" s="18" t="s">
        <v>47</v>
      </c>
      <c r="D245" s="22"/>
      <c r="E245" s="15"/>
    </row>
    <row r="246" spans="1:5" ht="12.75">
      <c r="A246" s="21"/>
      <c r="B246" s="27">
        <v>4410</v>
      </c>
      <c r="C246" s="18" t="s">
        <v>48</v>
      </c>
      <c r="D246" s="22"/>
      <c r="E246" s="15"/>
    </row>
    <row r="247" spans="1:5" ht="12.75">
      <c r="A247" s="21"/>
      <c r="B247" s="27">
        <v>4430</v>
      </c>
      <c r="C247" s="18" t="s">
        <v>16</v>
      </c>
      <c r="D247" s="22"/>
      <c r="E247" s="15"/>
    </row>
    <row r="248" spans="1:5" ht="25.5">
      <c r="A248" s="21"/>
      <c r="B248" s="27">
        <v>4440</v>
      </c>
      <c r="C248" s="18" t="s">
        <v>50</v>
      </c>
      <c r="D248" s="22"/>
      <c r="E248" s="15"/>
    </row>
    <row r="249" spans="1:5" ht="25.5">
      <c r="A249" s="21"/>
      <c r="B249" s="27">
        <v>4740</v>
      </c>
      <c r="C249" s="18" t="s">
        <v>52</v>
      </c>
      <c r="D249" s="22"/>
      <c r="E249" s="15"/>
    </row>
    <row r="250" spans="1:5" ht="25.5">
      <c r="A250" s="21"/>
      <c r="B250" s="27">
        <v>4750</v>
      </c>
      <c r="C250" s="18" t="s">
        <v>53</v>
      </c>
      <c r="D250" s="22"/>
      <c r="E250" s="15"/>
    </row>
    <row r="251" spans="1:5" ht="25.5">
      <c r="A251" s="21"/>
      <c r="B251" s="27">
        <v>6060</v>
      </c>
      <c r="C251" s="18" t="s">
        <v>61</v>
      </c>
      <c r="D251" s="22"/>
      <c r="E251" s="15"/>
    </row>
    <row r="252" spans="1:5" ht="12.75">
      <c r="A252" s="31">
        <v>80146</v>
      </c>
      <c r="B252" s="26"/>
      <c r="C252" s="19" t="s">
        <v>83</v>
      </c>
      <c r="D252" s="20">
        <f>SUM(D253:D255)</f>
        <v>0</v>
      </c>
      <c r="E252" s="15"/>
    </row>
    <row r="253" spans="1:5" ht="12.75">
      <c r="A253" s="21"/>
      <c r="B253" s="27">
        <v>4210</v>
      </c>
      <c r="C253" s="18" t="s">
        <v>14</v>
      </c>
      <c r="D253" s="22"/>
      <c r="E253" s="15"/>
    </row>
    <row r="254" spans="1:5" ht="12.75">
      <c r="A254" s="21"/>
      <c r="B254" s="27">
        <v>4300</v>
      </c>
      <c r="C254" s="18" t="s">
        <v>15</v>
      </c>
      <c r="D254" s="22"/>
      <c r="E254" s="15"/>
    </row>
    <row r="255" spans="1:5" ht="12.75">
      <c r="A255" s="21"/>
      <c r="B255" s="27">
        <v>4410</v>
      </c>
      <c r="C255" s="18" t="s">
        <v>48</v>
      </c>
      <c r="D255" s="22"/>
      <c r="E255" s="15"/>
    </row>
    <row r="256" spans="1:5" ht="12.75">
      <c r="A256" s="31">
        <v>80148</v>
      </c>
      <c r="B256" s="26"/>
      <c r="C256" s="19" t="s">
        <v>84</v>
      </c>
      <c r="D256" s="20">
        <f>SUM(D257:D271)</f>
        <v>0</v>
      </c>
      <c r="E256" s="15"/>
    </row>
    <row r="257" spans="1:5" ht="25.5">
      <c r="A257" s="31"/>
      <c r="B257" s="27">
        <v>3020</v>
      </c>
      <c r="C257" s="18" t="s">
        <v>73</v>
      </c>
      <c r="D257" s="22"/>
      <c r="E257" s="15"/>
    </row>
    <row r="258" spans="1:5" ht="12.75">
      <c r="A258" s="31"/>
      <c r="B258" s="27">
        <v>4010</v>
      </c>
      <c r="C258" s="18" t="s">
        <v>37</v>
      </c>
      <c r="D258" s="22"/>
      <c r="E258" s="15"/>
    </row>
    <row r="259" spans="1:5" ht="12.75">
      <c r="A259" s="31"/>
      <c r="B259" s="27">
        <v>4040</v>
      </c>
      <c r="C259" s="18" t="s">
        <v>38</v>
      </c>
      <c r="D259" s="22"/>
      <c r="E259" s="15"/>
    </row>
    <row r="260" spans="1:5" ht="12.75">
      <c r="A260" s="31"/>
      <c r="B260" s="27">
        <v>4110</v>
      </c>
      <c r="C260" s="18" t="s">
        <v>39</v>
      </c>
      <c r="D260" s="22"/>
      <c r="E260" s="15"/>
    </row>
    <row r="261" spans="1:5" ht="12.75">
      <c r="A261" s="31"/>
      <c r="B261" s="27">
        <v>4120</v>
      </c>
      <c r="C261" s="18" t="s">
        <v>40</v>
      </c>
      <c r="D261" s="22"/>
      <c r="E261" s="15"/>
    </row>
    <row r="262" spans="1:5" ht="12.75">
      <c r="A262" s="31"/>
      <c r="B262" s="27">
        <v>4210</v>
      </c>
      <c r="C262" s="18" t="s">
        <v>14</v>
      </c>
      <c r="D262" s="22"/>
      <c r="E262" s="15"/>
    </row>
    <row r="263" spans="1:5" ht="12.75">
      <c r="A263" s="31"/>
      <c r="B263" s="27">
        <v>4220</v>
      </c>
      <c r="C263" s="18" t="s">
        <v>78</v>
      </c>
      <c r="D263" s="22"/>
      <c r="E263" s="15"/>
    </row>
    <row r="264" spans="1:5" ht="12.75">
      <c r="A264" s="31"/>
      <c r="B264" s="27">
        <v>4270</v>
      </c>
      <c r="C264" s="18" t="s">
        <v>24</v>
      </c>
      <c r="D264" s="22"/>
      <c r="E264" s="15"/>
    </row>
    <row r="265" spans="1:5" ht="12.75">
      <c r="A265" s="31"/>
      <c r="B265" s="27">
        <v>4280</v>
      </c>
      <c r="C265" s="18" t="s">
        <v>44</v>
      </c>
      <c r="D265" s="22"/>
      <c r="E265" s="15"/>
    </row>
    <row r="266" spans="1:5" ht="12.75">
      <c r="A266" s="31"/>
      <c r="B266" s="27">
        <v>4300</v>
      </c>
      <c r="C266" s="18" t="s">
        <v>15</v>
      </c>
      <c r="D266" s="22"/>
      <c r="E266" s="15"/>
    </row>
    <row r="267" spans="1:5" ht="12.75">
      <c r="A267" s="31"/>
      <c r="B267" s="27">
        <v>4410</v>
      </c>
      <c r="C267" s="18" t="s">
        <v>48</v>
      </c>
      <c r="D267" s="22"/>
      <c r="E267" s="15"/>
    </row>
    <row r="268" spans="1:5" ht="12.75">
      <c r="A268" s="31"/>
      <c r="B268" s="27">
        <v>4430</v>
      </c>
      <c r="C268" s="18" t="s">
        <v>16</v>
      </c>
      <c r="D268" s="22"/>
      <c r="E268" s="15"/>
    </row>
    <row r="269" spans="1:5" ht="25.5">
      <c r="A269" s="31"/>
      <c r="B269" s="27">
        <v>4440</v>
      </c>
      <c r="C269" s="18" t="s">
        <v>50</v>
      </c>
      <c r="D269" s="22"/>
      <c r="E269" s="15"/>
    </row>
    <row r="270" spans="1:5" ht="25.5">
      <c r="A270" s="31"/>
      <c r="B270" s="27">
        <v>4740</v>
      </c>
      <c r="C270" s="18" t="s">
        <v>52</v>
      </c>
      <c r="D270" s="22"/>
      <c r="E270" s="15"/>
    </row>
    <row r="271" spans="1:5" ht="25.5">
      <c r="A271" s="31"/>
      <c r="B271" s="27">
        <v>4750</v>
      </c>
      <c r="C271" s="18" t="s">
        <v>53</v>
      </c>
      <c r="D271" s="22"/>
      <c r="E271" s="15"/>
    </row>
    <row r="272" spans="1:5" ht="12.75">
      <c r="A272" s="31">
        <v>80195</v>
      </c>
      <c r="B272" s="26"/>
      <c r="C272" s="19" t="s">
        <v>13</v>
      </c>
      <c r="D272" s="20">
        <f>SUM(D273:D274)</f>
        <v>0</v>
      </c>
      <c r="E272" s="15"/>
    </row>
    <row r="273" spans="1:5" ht="12.75">
      <c r="A273" s="31"/>
      <c r="B273" s="27">
        <v>4300</v>
      </c>
      <c r="C273" s="27" t="s">
        <v>15</v>
      </c>
      <c r="D273" s="22"/>
      <c r="E273" s="15"/>
    </row>
    <row r="274" spans="1:5" ht="26.25" thickBot="1">
      <c r="A274" s="66"/>
      <c r="B274" s="56">
        <v>4440</v>
      </c>
      <c r="C274" s="57" t="s">
        <v>50</v>
      </c>
      <c r="D274" s="58"/>
      <c r="E274" s="15"/>
    </row>
    <row r="275" spans="1:5" ht="13.5" thickBot="1">
      <c r="A275" s="62">
        <v>851</v>
      </c>
      <c r="B275" s="63"/>
      <c r="C275" s="64" t="s">
        <v>85</v>
      </c>
      <c r="D275" s="65">
        <f>SUM(D276,D279)</f>
        <v>31626</v>
      </c>
      <c r="E275" s="15"/>
    </row>
    <row r="276" spans="1:5" ht="12.75">
      <c r="A276" s="59">
        <v>85153</v>
      </c>
      <c r="B276" s="60"/>
      <c r="C276" s="60" t="s">
        <v>86</v>
      </c>
      <c r="D276" s="28">
        <f>SUM(D277:D278)</f>
        <v>0</v>
      </c>
      <c r="E276" s="15"/>
    </row>
    <row r="277" spans="1:5" ht="12.75">
      <c r="A277" s="21"/>
      <c r="B277" s="27">
        <v>4210</v>
      </c>
      <c r="C277" s="27" t="s">
        <v>14</v>
      </c>
      <c r="D277" s="22"/>
      <c r="E277" s="15"/>
    </row>
    <row r="278" spans="1:5" ht="12.75">
      <c r="A278" s="21"/>
      <c r="B278" s="27">
        <v>4300</v>
      </c>
      <c r="C278" s="27" t="s">
        <v>15</v>
      </c>
      <c r="D278" s="22"/>
      <c r="E278" s="15"/>
    </row>
    <row r="279" spans="1:5" ht="12.75">
      <c r="A279" s="31">
        <v>85154</v>
      </c>
      <c r="B279" s="26"/>
      <c r="C279" s="19" t="s">
        <v>87</v>
      </c>
      <c r="D279" s="20">
        <f>SUM(D280:D290)</f>
        <v>31626</v>
      </c>
      <c r="E279" s="15"/>
    </row>
    <row r="280" spans="1:5" ht="38.25">
      <c r="A280" s="31"/>
      <c r="B280" s="27">
        <v>2710</v>
      </c>
      <c r="C280" s="18" t="s">
        <v>22</v>
      </c>
      <c r="D280" s="22">
        <v>7626</v>
      </c>
      <c r="E280" s="15">
        <v>-4000</v>
      </c>
    </row>
    <row r="281" spans="1:5" ht="38.25">
      <c r="A281" s="31"/>
      <c r="B281" s="27">
        <v>2820</v>
      </c>
      <c r="C281" s="18" t="s">
        <v>59</v>
      </c>
      <c r="D281" s="22">
        <v>24000</v>
      </c>
      <c r="E281" s="15">
        <v>4000</v>
      </c>
    </row>
    <row r="282" spans="1:5" ht="12.75">
      <c r="A282" s="31"/>
      <c r="B282" s="27">
        <v>4110</v>
      </c>
      <c r="C282" s="18" t="s">
        <v>39</v>
      </c>
      <c r="D282" s="22"/>
      <c r="E282" s="15"/>
    </row>
    <row r="283" spans="1:5" ht="12.75">
      <c r="A283" s="31"/>
      <c r="B283" s="27">
        <v>4120</v>
      </c>
      <c r="C283" s="18" t="s">
        <v>40</v>
      </c>
      <c r="D283" s="22"/>
      <c r="E283" s="15"/>
    </row>
    <row r="284" spans="1:5" ht="12.75">
      <c r="A284" s="31"/>
      <c r="B284" s="27">
        <v>4170</v>
      </c>
      <c r="C284" s="18" t="s">
        <v>42</v>
      </c>
      <c r="D284" s="22"/>
      <c r="E284" s="15"/>
    </row>
    <row r="285" spans="1:5" ht="12.75">
      <c r="A285" s="31"/>
      <c r="B285" s="27">
        <v>4210</v>
      </c>
      <c r="C285" s="18" t="s">
        <v>14</v>
      </c>
      <c r="D285" s="22"/>
      <c r="E285" s="15"/>
    </row>
    <row r="286" spans="1:5" ht="12.75">
      <c r="A286" s="31"/>
      <c r="B286" s="27">
        <v>4260</v>
      </c>
      <c r="C286" s="18" t="s">
        <v>43</v>
      </c>
      <c r="D286" s="22"/>
      <c r="E286" s="15"/>
    </row>
    <row r="287" spans="1:5" ht="12.75">
      <c r="A287" s="31"/>
      <c r="B287" s="27">
        <v>4300</v>
      </c>
      <c r="C287" s="18" t="s">
        <v>15</v>
      </c>
      <c r="D287" s="22"/>
      <c r="E287" s="15"/>
    </row>
    <row r="288" spans="1:5" ht="25.5">
      <c r="A288" s="31"/>
      <c r="B288" s="27">
        <v>4370</v>
      </c>
      <c r="C288" s="18" t="s">
        <v>47</v>
      </c>
      <c r="D288" s="22"/>
      <c r="E288" s="15"/>
    </row>
    <row r="289" spans="1:5" ht="12.75">
      <c r="A289" s="31"/>
      <c r="B289" s="27">
        <v>4410</v>
      </c>
      <c r="C289" s="18" t="s">
        <v>48</v>
      </c>
      <c r="D289" s="22"/>
      <c r="E289" s="15"/>
    </row>
    <row r="290" spans="1:5" ht="26.25" thickBot="1">
      <c r="A290" s="67"/>
      <c r="B290" s="56">
        <v>4740</v>
      </c>
      <c r="C290" s="57" t="s">
        <v>52</v>
      </c>
      <c r="D290" s="58"/>
      <c r="E290" s="15"/>
    </row>
    <row r="291" spans="1:5" ht="13.5" thickBot="1">
      <c r="A291" s="62">
        <v>852</v>
      </c>
      <c r="B291" s="63"/>
      <c r="C291" s="64" t="s">
        <v>88</v>
      </c>
      <c r="D291" s="65">
        <f>SUM(D292,D294,D296,D298,D317)</f>
        <v>3000</v>
      </c>
      <c r="E291" s="15"/>
    </row>
    <row r="292" spans="1:5" ht="12.75">
      <c r="A292" s="59">
        <v>85202</v>
      </c>
      <c r="B292" s="60"/>
      <c r="C292" s="61" t="s">
        <v>89</v>
      </c>
      <c r="D292" s="28">
        <f>SUM(D293)</f>
        <v>0</v>
      </c>
      <c r="E292" s="15"/>
    </row>
    <row r="293" spans="1:5" ht="38.25">
      <c r="A293" s="31"/>
      <c r="B293" s="27">
        <v>4330</v>
      </c>
      <c r="C293" s="18" t="s">
        <v>122</v>
      </c>
      <c r="D293" s="22"/>
      <c r="E293" s="77"/>
    </row>
    <row r="294" spans="1:5" ht="25.5">
      <c r="A294" s="31">
        <v>85214</v>
      </c>
      <c r="B294" s="26"/>
      <c r="C294" s="19" t="s">
        <v>90</v>
      </c>
      <c r="D294" s="20">
        <f>SUM(D295:D295)</f>
        <v>0</v>
      </c>
      <c r="E294" s="78"/>
    </row>
    <row r="295" spans="1:5" ht="12.75">
      <c r="A295" s="21"/>
      <c r="B295" s="27">
        <v>3110</v>
      </c>
      <c r="C295" s="18" t="s">
        <v>91</v>
      </c>
      <c r="D295" s="22"/>
      <c r="E295" s="77"/>
    </row>
    <row r="296" spans="1:5" ht="12.75">
      <c r="A296" s="31">
        <v>85215</v>
      </c>
      <c r="B296" s="26"/>
      <c r="C296" s="19" t="s">
        <v>92</v>
      </c>
      <c r="D296" s="20">
        <f>SUM(D297)</f>
        <v>0</v>
      </c>
      <c r="E296" s="77"/>
    </row>
    <row r="297" spans="1:5" ht="12.75">
      <c r="A297" s="21"/>
      <c r="B297" s="27">
        <v>3110</v>
      </c>
      <c r="C297" s="18" t="s">
        <v>91</v>
      </c>
      <c r="D297" s="22"/>
      <c r="E297" s="78"/>
    </row>
    <row r="298" spans="1:5" ht="12.75">
      <c r="A298" s="31">
        <v>85219</v>
      </c>
      <c r="B298" s="26"/>
      <c r="C298" s="19" t="s">
        <v>93</v>
      </c>
      <c r="D298" s="20">
        <f>SUM(D299:D316)</f>
        <v>0</v>
      </c>
      <c r="E298" s="77"/>
    </row>
    <row r="299" spans="1:5" ht="25.5">
      <c r="A299" s="21"/>
      <c r="B299" s="27">
        <v>3020</v>
      </c>
      <c r="C299" s="18" t="s">
        <v>73</v>
      </c>
      <c r="D299" s="22"/>
      <c r="E299" s="78"/>
    </row>
    <row r="300" spans="1:5" ht="12.75">
      <c r="A300" s="21"/>
      <c r="B300" s="27">
        <v>4010</v>
      </c>
      <c r="C300" s="18" t="s">
        <v>37</v>
      </c>
      <c r="D300" s="22"/>
      <c r="E300" s="77"/>
    </row>
    <row r="301" spans="1:5" ht="12.75">
      <c r="A301" s="21"/>
      <c r="B301" s="27">
        <v>4040</v>
      </c>
      <c r="C301" s="18" t="s">
        <v>38</v>
      </c>
      <c r="D301" s="22"/>
      <c r="E301" s="77"/>
    </row>
    <row r="302" spans="1:5" ht="12.75">
      <c r="A302" s="21"/>
      <c r="B302" s="27">
        <v>4110</v>
      </c>
      <c r="C302" s="18" t="s">
        <v>39</v>
      </c>
      <c r="D302" s="22"/>
      <c r="E302" s="77"/>
    </row>
    <row r="303" spans="1:5" ht="12.75">
      <c r="A303" s="21"/>
      <c r="B303" s="27">
        <v>4120</v>
      </c>
      <c r="C303" s="18" t="s">
        <v>40</v>
      </c>
      <c r="D303" s="22"/>
      <c r="E303" s="77"/>
    </row>
    <row r="304" spans="1:5" ht="12.75">
      <c r="A304" s="21"/>
      <c r="B304" s="27">
        <v>4170</v>
      </c>
      <c r="C304" s="18" t="s">
        <v>42</v>
      </c>
      <c r="D304" s="22"/>
      <c r="E304" s="77"/>
    </row>
    <row r="305" spans="1:5" ht="12.75">
      <c r="A305" s="21"/>
      <c r="B305" s="27">
        <v>4210</v>
      </c>
      <c r="C305" s="18" t="s">
        <v>14</v>
      </c>
      <c r="D305" s="22"/>
      <c r="E305" s="78"/>
    </row>
    <row r="306" spans="1:5" ht="12.75">
      <c r="A306" s="21"/>
      <c r="B306" s="27">
        <v>4260</v>
      </c>
      <c r="C306" s="18" t="s">
        <v>43</v>
      </c>
      <c r="D306" s="22"/>
      <c r="E306" s="77"/>
    </row>
    <row r="307" spans="1:5" ht="12.75">
      <c r="A307" s="21"/>
      <c r="B307" s="27">
        <v>4270</v>
      </c>
      <c r="C307" s="18" t="s">
        <v>24</v>
      </c>
      <c r="D307" s="22"/>
      <c r="E307" s="77"/>
    </row>
    <row r="308" spans="1:5" ht="12.75">
      <c r="A308" s="21"/>
      <c r="B308" s="27">
        <v>4280</v>
      </c>
      <c r="C308" s="18" t="s">
        <v>44</v>
      </c>
      <c r="D308" s="22"/>
      <c r="E308" s="77"/>
    </row>
    <row r="309" spans="1:5" ht="12.75">
      <c r="A309" s="21"/>
      <c r="B309" s="27">
        <v>4300</v>
      </c>
      <c r="C309" s="18" t="s">
        <v>15</v>
      </c>
      <c r="D309" s="22"/>
      <c r="E309" s="77"/>
    </row>
    <row r="310" spans="1:5" ht="12.75">
      <c r="A310" s="21"/>
      <c r="B310" s="27">
        <v>4350</v>
      </c>
      <c r="C310" s="18" t="s">
        <v>45</v>
      </c>
      <c r="D310" s="22"/>
      <c r="E310" s="77"/>
    </row>
    <row r="311" spans="1:5" ht="25.5">
      <c r="A311" s="21"/>
      <c r="B311" s="27">
        <v>4370</v>
      </c>
      <c r="C311" s="18" t="s">
        <v>47</v>
      </c>
      <c r="D311" s="22"/>
      <c r="E311" s="15"/>
    </row>
    <row r="312" spans="1:5" ht="12.75">
      <c r="A312" s="21"/>
      <c r="B312" s="27">
        <v>4410</v>
      </c>
      <c r="C312" s="18" t="s">
        <v>48</v>
      </c>
      <c r="D312" s="22"/>
      <c r="E312" s="15"/>
    </row>
    <row r="313" spans="1:5" ht="25.5">
      <c r="A313" s="21"/>
      <c r="B313" s="27">
        <v>4440</v>
      </c>
      <c r="C313" s="18" t="s">
        <v>50</v>
      </c>
      <c r="D313" s="22"/>
      <c r="E313" s="15"/>
    </row>
    <row r="314" spans="1:5" ht="25.5">
      <c r="A314" s="21"/>
      <c r="B314" s="27">
        <v>4700</v>
      </c>
      <c r="C314" s="18" t="s">
        <v>51</v>
      </c>
      <c r="D314" s="22"/>
      <c r="E314" s="15"/>
    </row>
    <row r="315" spans="1:5" ht="25.5">
      <c r="A315" s="21"/>
      <c r="B315" s="27">
        <v>4740</v>
      </c>
      <c r="C315" s="18" t="s">
        <v>52</v>
      </c>
      <c r="D315" s="22"/>
      <c r="E315" s="15"/>
    </row>
    <row r="316" spans="1:5" ht="25.5">
      <c r="A316" s="21"/>
      <c r="B316" s="27">
        <v>4750</v>
      </c>
      <c r="C316" s="18" t="s">
        <v>53</v>
      </c>
      <c r="D316" s="22"/>
      <c r="E316" s="15"/>
    </row>
    <row r="317" spans="1:5" ht="12.75">
      <c r="A317" s="31">
        <v>85295</v>
      </c>
      <c r="B317" s="26"/>
      <c r="C317" s="19" t="s">
        <v>13</v>
      </c>
      <c r="D317" s="20">
        <f>SUM(D318:D319)</f>
        <v>3000</v>
      </c>
      <c r="E317" s="15"/>
    </row>
    <row r="318" spans="1:5" ht="33.75">
      <c r="A318" s="52"/>
      <c r="B318" s="27">
        <v>2820</v>
      </c>
      <c r="C318" s="44" t="s">
        <v>59</v>
      </c>
      <c r="D318" s="22">
        <v>3000</v>
      </c>
      <c r="E318" s="76"/>
    </row>
    <row r="319" spans="1:5" ht="13.5" thickBot="1">
      <c r="A319" s="66"/>
      <c r="B319" s="56">
        <v>3110</v>
      </c>
      <c r="C319" s="57" t="s">
        <v>91</v>
      </c>
      <c r="D319" s="58"/>
      <c r="E319" s="15"/>
    </row>
    <row r="320" spans="1:5" ht="13.5" thickBot="1">
      <c r="A320" s="62">
        <v>854</v>
      </c>
      <c r="B320" s="63"/>
      <c r="C320" s="64" t="s">
        <v>94</v>
      </c>
      <c r="D320" s="65">
        <f>SUM(D321)</f>
        <v>0</v>
      </c>
      <c r="E320" s="15"/>
    </row>
    <row r="321" spans="1:5" ht="12.75">
      <c r="A321" s="59">
        <v>85401</v>
      </c>
      <c r="B321" s="60"/>
      <c r="C321" s="61" t="s">
        <v>95</v>
      </c>
      <c r="D321" s="28">
        <f>SUM(D322:D336)</f>
        <v>0</v>
      </c>
      <c r="E321" s="15"/>
    </row>
    <row r="322" spans="1:5" ht="25.5">
      <c r="A322" s="21"/>
      <c r="B322" s="27">
        <v>3020</v>
      </c>
      <c r="C322" s="18" t="s">
        <v>73</v>
      </c>
      <c r="D322" s="22"/>
      <c r="E322" s="15"/>
    </row>
    <row r="323" spans="1:5" ht="12.75">
      <c r="A323" s="21"/>
      <c r="B323" s="27">
        <v>4010</v>
      </c>
      <c r="C323" s="18" t="s">
        <v>37</v>
      </c>
      <c r="D323" s="22"/>
      <c r="E323" s="15"/>
    </row>
    <row r="324" spans="1:5" ht="12.75">
      <c r="A324" s="21"/>
      <c r="B324" s="27">
        <v>4040</v>
      </c>
      <c r="C324" s="18" t="s">
        <v>38</v>
      </c>
      <c r="D324" s="22"/>
      <c r="E324" s="15"/>
    </row>
    <row r="325" spans="1:5" ht="12.75">
      <c r="A325" s="21"/>
      <c r="B325" s="27">
        <v>4110</v>
      </c>
      <c r="C325" s="18" t="s">
        <v>39</v>
      </c>
      <c r="D325" s="22"/>
      <c r="E325" s="15"/>
    </row>
    <row r="326" spans="1:5" ht="12.75">
      <c r="A326" s="21"/>
      <c r="B326" s="27">
        <v>4120</v>
      </c>
      <c r="C326" s="18" t="s">
        <v>40</v>
      </c>
      <c r="D326" s="22"/>
      <c r="E326" s="15"/>
    </row>
    <row r="327" spans="1:5" ht="12.75">
      <c r="A327" s="21"/>
      <c r="B327" s="27">
        <v>4170</v>
      </c>
      <c r="C327" s="18" t="s">
        <v>42</v>
      </c>
      <c r="D327" s="22"/>
      <c r="E327" s="15"/>
    </row>
    <row r="328" spans="1:5" ht="12.75">
      <c r="A328" s="21"/>
      <c r="B328" s="27">
        <v>4210</v>
      </c>
      <c r="C328" s="18" t="s">
        <v>14</v>
      </c>
      <c r="D328" s="22"/>
      <c r="E328" s="15"/>
    </row>
    <row r="329" spans="1:5" ht="12.75">
      <c r="A329" s="21"/>
      <c r="B329" s="27">
        <v>4240</v>
      </c>
      <c r="C329" s="18" t="s">
        <v>76</v>
      </c>
      <c r="D329" s="22"/>
      <c r="E329" s="15"/>
    </row>
    <row r="330" spans="1:5" ht="12.75">
      <c r="A330" s="21"/>
      <c r="B330" s="27">
        <v>4270</v>
      </c>
      <c r="C330" s="18" t="s">
        <v>24</v>
      </c>
      <c r="D330" s="22"/>
      <c r="E330" s="15"/>
    </row>
    <row r="331" spans="1:5" ht="12.75">
      <c r="A331" s="21"/>
      <c r="B331" s="27">
        <v>4280</v>
      </c>
      <c r="C331" s="18" t="s">
        <v>44</v>
      </c>
      <c r="D331" s="22"/>
      <c r="E331" s="15"/>
    </row>
    <row r="332" spans="1:5" ht="12.75">
      <c r="A332" s="21"/>
      <c r="B332" s="27">
        <v>4300</v>
      </c>
      <c r="C332" s="18" t="s">
        <v>15</v>
      </c>
      <c r="D332" s="22"/>
      <c r="E332" s="15"/>
    </row>
    <row r="333" spans="1:5" ht="12.75">
      <c r="A333" s="21"/>
      <c r="B333" s="27">
        <v>4410</v>
      </c>
      <c r="C333" s="18" t="s">
        <v>48</v>
      </c>
      <c r="D333" s="22"/>
      <c r="E333" s="15"/>
    </row>
    <row r="334" spans="1:5" ht="25.5">
      <c r="A334" s="21"/>
      <c r="B334" s="27">
        <v>4440</v>
      </c>
      <c r="C334" s="18" t="s">
        <v>50</v>
      </c>
      <c r="D334" s="22"/>
      <c r="E334" s="15"/>
    </row>
    <row r="335" spans="1:5" ht="25.5">
      <c r="A335" s="21"/>
      <c r="B335" s="27">
        <v>4740</v>
      </c>
      <c r="C335" s="18" t="s">
        <v>52</v>
      </c>
      <c r="D335" s="22"/>
      <c r="E335" s="15"/>
    </row>
    <row r="336" spans="1:5" ht="26.25" thickBot="1">
      <c r="A336" s="66"/>
      <c r="B336" s="56">
        <v>6060</v>
      </c>
      <c r="C336" s="57" t="s">
        <v>61</v>
      </c>
      <c r="D336" s="58">
        <v>0</v>
      </c>
      <c r="E336" s="15"/>
    </row>
    <row r="337" spans="1:5" ht="26.25" thickBot="1">
      <c r="A337" s="62">
        <v>900</v>
      </c>
      <c r="B337" s="63"/>
      <c r="C337" s="64" t="s">
        <v>96</v>
      </c>
      <c r="D337" s="65">
        <f>SUM(D338,D340,D343,D345,D347,D352,D354)</f>
        <v>0</v>
      </c>
      <c r="E337" s="15"/>
    </row>
    <row r="338" spans="1:5" ht="12.75">
      <c r="A338" s="59">
        <v>90001</v>
      </c>
      <c r="B338" s="60"/>
      <c r="C338" s="61" t="s">
        <v>125</v>
      </c>
      <c r="D338" s="28">
        <f>D339</f>
        <v>0</v>
      </c>
      <c r="E338" s="15"/>
    </row>
    <row r="339" spans="1:5" ht="12.75">
      <c r="A339" s="31"/>
      <c r="B339" s="27">
        <v>4260</v>
      </c>
      <c r="C339" s="18" t="s">
        <v>43</v>
      </c>
      <c r="D339" s="22"/>
      <c r="E339" s="15"/>
    </row>
    <row r="340" spans="1:5" ht="12.75">
      <c r="A340" s="31">
        <v>90002</v>
      </c>
      <c r="B340" s="26"/>
      <c r="C340" s="19" t="s">
        <v>97</v>
      </c>
      <c r="D340" s="20">
        <f>SUM(D341:D342)</f>
        <v>0</v>
      </c>
      <c r="E340" s="15"/>
    </row>
    <row r="341" spans="1:5" ht="12.75">
      <c r="A341" s="31"/>
      <c r="B341" s="27">
        <v>4300</v>
      </c>
      <c r="C341" s="18" t="s">
        <v>15</v>
      </c>
      <c r="D341" s="22"/>
      <c r="E341" s="15"/>
    </row>
    <row r="342" spans="1:5" ht="63.75">
      <c r="A342" s="21"/>
      <c r="B342" s="27">
        <v>6659</v>
      </c>
      <c r="C342" s="18" t="s">
        <v>8</v>
      </c>
      <c r="D342" s="22"/>
      <c r="E342" s="15"/>
    </row>
    <row r="343" spans="1:5" ht="12.75">
      <c r="A343" s="31">
        <v>90003</v>
      </c>
      <c r="B343" s="26"/>
      <c r="C343" s="19" t="s">
        <v>98</v>
      </c>
      <c r="D343" s="20">
        <f>SUM(D344)</f>
        <v>0</v>
      </c>
      <c r="E343" s="15"/>
    </row>
    <row r="344" spans="1:5" ht="12.75">
      <c r="A344" s="21"/>
      <c r="B344" s="27">
        <v>4300</v>
      </c>
      <c r="C344" s="18" t="s">
        <v>15</v>
      </c>
      <c r="D344" s="22"/>
      <c r="E344" s="15"/>
    </row>
    <row r="345" spans="1:5" ht="12.75">
      <c r="A345" s="31">
        <v>90004</v>
      </c>
      <c r="B345" s="26"/>
      <c r="C345" s="19" t="s">
        <v>99</v>
      </c>
      <c r="D345" s="20">
        <f>SUM(D346:D346)</f>
        <v>0</v>
      </c>
      <c r="E345" s="15"/>
    </row>
    <row r="346" spans="1:5" ht="12.75">
      <c r="A346" s="21"/>
      <c r="B346" s="27">
        <v>4300</v>
      </c>
      <c r="C346" s="18" t="s">
        <v>15</v>
      </c>
      <c r="D346" s="22"/>
      <c r="E346" s="15"/>
    </row>
    <row r="347" spans="1:5" ht="12.75">
      <c r="A347" s="31">
        <v>90015</v>
      </c>
      <c r="B347" s="26"/>
      <c r="C347" s="19" t="s">
        <v>100</v>
      </c>
      <c r="D347" s="20">
        <f>SUM(D348:D350)</f>
        <v>0</v>
      </c>
      <c r="E347" s="15"/>
    </row>
    <row r="348" spans="1:5" ht="12.75">
      <c r="A348" s="21"/>
      <c r="B348" s="27">
        <v>4260</v>
      </c>
      <c r="C348" s="18" t="s">
        <v>43</v>
      </c>
      <c r="D348" s="22"/>
      <c r="E348" s="15"/>
    </row>
    <row r="349" spans="1:5" ht="12.75">
      <c r="A349" s="21"/>
      <c r="B349" s="27">
        <v>4300</v>
      </c>
      <c r="C349" s="18" t="s">
        <v>15</v>
      </c>
      <c r="D349" s="22"/>
      <c r="E349" s="15"/>
    </row>
    <row r="350" spans="1:5" ht="12.75">
      <c r="A350" s="21"/>
      <c r="B350" s="27">
        <v>6050</v>
      </c>
      <c r="C350" s="18" t="s">
        <v>26</v>
      </c>
      <c r="D350" s="22"/>
      <c r="E350" s="15">
        <v>20000</v>
      </c>
    </row>
    <row r="351" spans="1:5" ht="12.75">
      <c r="A351" s="21"/>
      <c r="B351" s="27"/>
      <c r="C351" s="18"/>
      <c r="D351" s="22"/>
      <c r="E351" s="15"/>
    </row>
    <row r="352" spans="1:5" ht="12.75">
      <c r="A352" s="31">
        <v>90017</v>
      </c>
      <c r="B352" s="26"/>
      <c r="C352" s="19" t="s">
        <v>101</v>
      </c>
      <c r="D352" s="20">
        <f>SUM(D353:D353)</f>
        <v>0</v>
      </c>
      <c r="E352" s="15"/>
    </row>
    <row r="353" spans="1:5" ht="33.75">
      <c r="A353" s="51"/>
      <c r="B353" s="27">
        <v>6210</v>
      </c>
      <c r="C353" s="44" t="s">
        <v>102</v>
      </c>
      <c r="D353" s="22">
        <v>0</v>
      </c>
      <c r="E353" s="76">
        <v>-50000</v>
      </c>
    </row>
    <row r="354" spans="1:5" ht="12.75">
      <c r="A354" s="31">
        <v>90095</v>
      </c>
      <c r="B354" s="26"/>
      <c r="C354" s="19" t="s">
        <v>13</v>
      </c>
      <c r="D354" s="20">
        <f>SUM(D355:D359)</f>
        <v>0</v>
      </c>
      <c r="E354" s="15"/>
    </row>
    <row r="355" spans="1:5" ht="45">
      <c r="A355" s="51"/>
      <c r="B355" s="27">
        <v>2900</v>
      </c>
      <c r="C355" s="44" t="s">
        <v>103</v>
      </c>
      <c r="D355" s="22">
        <v>0</v>
      </c>
      <c r="E355" s="76"/>
    </row>
    <row r="356" spans="1:5" ht="12.75">
      <c r="A356" s="21"/>
      <c r="B356" s="27">
        <v>4210</v>
      </c>
      <c r="C356" s="18" t="s">
        <v>14</v>
      </c>
      <c r="D356" s="22">
        <v>0</v>
      </c>
      <c r="E356" s="15"/>
    </row>
    <row r="357" spans="1:5" ht="12.75">
      <c r="A357" s="21"/>
      <c r="B357" s="27">
        <v>4260</v>
      </c>
      <c r="C357" s="18" t="s">
        <v>43</v>
      </c>
      <c r="D357" s="22">
        <v>0</v>
      </c>
      <c r="E357" s="15"/>
    </row>
    <row r="358" spans="1:5" ht="12.75">
      <c r="A358" s="21"/>
      <c r="B358" s="27">
        <v>4300</v>
      </c>
      <c r="C358" s="18" t="s">
        <v>15</v>
      </c>
      <c r="D358" s="22">
        <v>0</v>
      </c>
      <c r="E358" s="15"/>
    </row>
    <row r="359" spans="1:5" ht="13.5" thickBot="1">
      <c r="A359" s="66"/>
      <c r="B359" s="56">
        <v>4430</v>
      </c>
      <c r="C359" s="57" t="s">
        <v>16</v>
      </c>
      <c r="D359" s="58">
        <v>0</v>
      </c>
      <c r="E359" s="15"/>
    </row>
    <row r="360" spans="1:5" ht="13.5" thickBot="1">
      <c r="A360" s="62">
        <v>921</v>
      </c>
      <c r="B360" s="63"/>
      <c r="C360" s="64" t="s">
        <v>104</v>
      </c>
      <c r="D360" s="65">
        <f>SUM(D361,D364,D368,D370)</f>
        <v>500000</v>
      </c>
      <c r="E360" s="15"/>
    </row>
    <row r="361" spans="1:5" ht="12.75">
      <c r="A361" s="59">
        <v>92109</v>
      </c>
      <c r="B361" s="60"/>
      <c r="C361" s="61" t="s">
        <v>105</v>
      </c>
      <c r="D361" s="28">
        <f>D362+D363</f>
        <v>300000</v>
      </c>
      <c r="E361" s="15"/>
    </row>
    <row r="362" spans="1:5" ht="25.5">
      <c r="A362" s="21"/>
      <c r="B362" s="27">
        <v>2480</v>
      </c>
      <c r="C362" s="18" t="s">
        <v>106</v>
      </c>
      <c r="D362" s="22">
        <v>300000</v>
      </c>
      <c r="E362" s="15"/>
    </row>
    <row r="363" spans="1:5" ht="12.75">
      <c r="A363" s="21"/>
      <c r="B363" s="27">
        <v>6050</v>
      </c>
      <c r="C363" s="18" t="s">
        <v>26</v>
      </c>
      <c r="D363" s="22">
        <v>0</v>
      </c>
      <c r="E363" s="76">
        <v>200000</v>
      </c>
    </row>
    <row r="364" spans="1:5" ht="12.75">
      <c r="A364" s="31">
        <v>92116</v>
      </c>
      <c r="B364" s="26"/>
      <c r="C364" s="19" t="s">
        <v>107</v>
      </c>
      <c r="D364" s="20">
        <f>D365+D366+D367</f>
        <v>200000</v>
      </c>
      <c r="E364" s="15"/>
    </row>
    <row r="365" spans="1:5" ht="25.5">
      <c r="A365" s="31"/>
      <c r="B365" s="27">
        <v>2480</v>
      </c>
      <c r="C365" s="18" t="s">
        <v>106</v>
      </c>
      <c r="D365" s="22">
        <v>200000</v>
      </c>
      <c r="E365" s="15"/>
    </row>
    <row r="366" spans="1:5" ht="12.75">
      <c r="A366" s="31"/>
      <c r="B366" s="27">
        <v>6058</v>
      </c>
      <c r="C366" s="18" t="s">
        <v>26</v>
      </c>
      <c r="D366" s="22">
        <v>0</v>
      </c>
      <c r="E366" s="15"/>
    </row>
    <row r="367" spans="1:5" ht="12.75">
      <c r="A367" s="31"/>
      <c r="B367" s="27">
        <v>6059</v>
      </c>
      <c r="C367" s="18" t="s">
        <v>26</v>
      </c>
      <c r="D367" s="22">
        <v>0</v>
      </c>
      <c r="E367" s="15"/>
    </row>
    <row r="368" spans="1:5" ht="12.75">
      <c r="A368" s="31">
        <v>92120</v>
      </c>
      <c r="B368" s="26"/>
      <c r="C368" s="26" t="s">
        <v>132</v>
      </c>
      <c r="D368" s="20">
        <f>D369</f>
        <v>0</v>
      </c>
      <c r="E368" s="15"/>
    </row>
    <row r="369" spans="1:5" ht="38.25">
      <c r="A369" s="31"/>
      <c r="B369" s="27">
        <v>4349</v>
      </c>
      <c r="C369" s="18" t="s">
        <v>144</v>
      </c>
      <c r="D369" s="22">
        <v>0</v>
      </c>
      <c r="E369" s="15"/>
    </row>
    <row r="370" spans="1:5" ht="12.75">
      <c r="A370" s="31">
        <v>92195</v>
      </c>
      <c r="B370" s="26"/>
      <c r="C370" s="26" t="s">
        <v>13</v>
      </c>
      <c r="D370" s="20">
        <f>SUM(D371:D376)</f>
        <v>0</v>
      </c>
      <c r="E370" s="15"/>
    </row>
    <row r="371" spans="1:5" ht="12.75">
      <c r="A371" s="21"/>
      <c r="B371" s="27">
        <v>4210</v>
      </c>
      <c r="C371" s="27" t="s">
        <v>14</v>
      </c>
      <c r="D371" s="22"/>
      <c r="E371" s="15"/>
    </row>
    <row r="372" spans="1:5" ht="12.75">
      <c r="A372" s="21"/>
      <c r="B372" s="27">
        <v>4260</v>
      </c>
      <c r="C372" s="18" t="s">
        <v>43</v>
      </c>
      <c r="D372" s="22"/>
      <c r="E372" s="15"/>
    </row>
    <row r="373" spans="1:5" ht="12.75">
      <c r="A373" s="21"/>
      <c r="B373" s="27">
        <v>4270</v>
      </c>
      <c r="C373" s="18" t="s">
        <v>24</v>
      </c>
      <c r="D373" s="22"/>
      <c r="E373" s="15"/>
    </row>
    <row r="374" spans="1:5" ht="12.75">
      <c r="A374" s="21"/>
      <c r="B374" s="27">
        <v>4300</v>
      </c>
      <c r="C374" s="27" t="s">
        <v>15</v>
      </c>
      <c r="D374" s="22"/>
      <c r="E374" s="15"/>
    </row>
    <row r="375" spans="1:5" ht="12.75">
      <c r="A375" s="21"/>
      <c r="B375" s="27">
        <v>6058</v>
      </c>
      <c r="C375" s="18" t="s">
        <v>26</v>
      </c>
      <c r="D375" s="22"/>
      <c r="E375" s="15"/>
    </row>
    <row r="376" spans="1:5" ht="13.5" thickBot="1">
      <c r="A376" s="66"/>
      <c r="B376" s="56">
        <v>6059</v>
      </c>
      <c r="C376" s="57" t="s">
        <v>26</v>
      </c>
      <c r="D376" s="58"/>
      <c r="E376" s="76">
        <v>-100000</v>
      </c>
    </row>
    <row r="377" spans="1:5" ht="13.5" thickBot="1">
      <c r="A377" s="62">
        <v>926</v>
      </c>
      <c r="B377" s="63"/>
      <c r="C377" s="64" t="s">
        <v>108</v>
      </c>
      <c r="D377" s="65">
        <f>SUM(D378,D382)</f>
        <v>80000</v>
      </c>
      <c r="E377" s="15"/>
    </row>
    <row r="378" spans="1:5" ht="12.75">
      <c r="A378" s="59">
        <v>92601</v>
      </c>
      <c r="B378" s="60"/>
      <c r="C378" s="61" t="s">
        <v>109</v>
      </c>
      <c r="D378" s="28">
        <f>SUM(D379:D381)</f>
        <v>0</v>
      </c>
      <c r="E378" s="15"/>
    </row>
    <row r="379" spans="1:5" ht="12.75">
      <c r="A379" s="31"/>
      <c r="B379" s="27">
        <v>6050</v>
      </c>
      <c r="C379" s="18" t="s">
        <v>26</v>
      </c>
      <c r="D379" s="22">
        <v>0</v>
      </c>
      <c r="E379" s="15"/>
    </row>
    <row r="380" spans="1:5" ht="12.75">
      <c r="A380" s="31"/>
      <c r="B380" s="27">
        <v>6058</v>
      </c>
      <c r="C380" s="18" t="s">
        <v>26</v>
      </c>
      <c r="D380" s="79">
        <v>0</v>
      </c>
      <c r="E380" s="15"/>
    </row>
    <row r="381" spans="1:5" ht="12.75">
      <c r="A381" s="21"/>
      <c r="B381" s="27">
        <v>6059</v>
      </c>
      <c r="C381" s="18" t="s">
        <v>26</v>
      </c>
      <c r="D381" s="79">
        <v>0</v>
      </c>
      <c r="E381" s="15"/>
    </row>
    <row r="382" spans="1:5" ht="25.5">
      <c r="A382" s="31">
        <v>92605</v>
      </c>
      <c r="B382" s="26"/>
      <c r="C382" s="19" t="s">
        <v>110</v>
      </c>
      <c r="D382" s="20">
        <f>SUM(D383:D391)</f>
        <v>80000</v>
      </c>
      <c r="E382" s="15"/>
    </row>
    <row r="383" spans="1:5" ht="25.5">
      <c r="A383" s="31"/>
      <c r="B383" s="27">
        <v>2820</v>
      </c>
      <c r="C383" s="18" t="s">
        <v>111</v>
      </c>
      <c r="D383" s="22">
        <v>80000</v>
      </c>
      <c r="E383" s="15">
        <v>15000</v>
      </c>
    </row>
    <row r="384" spans="1:5" ht="12.75">
      <c r="A384" s="21"/>
      <c r="B384" s="27">
        <v>4110</v>
      </c>
      <c r="C384" s="18" t="s">
        <v>39</v>
      </c>
      <c r="D384" s="22"/>
      <c r="E384" s="15"/>
    </row>
    <row r="385" spans="1:5" ht="12.75">
      <c r="A385" s="21"/>
      <c r="B385" s="27">
        <v>4120</v>
      </c>
      <c r="C385" s="18" t="s">
        <v>40</v>
      </c>
      <c r="D385" s="22"/>
      <c r="E385" s="15"/>
    </row>
    <row r="386" spans="1:5" ht="12.75">
      <c r="A386" s="21"/>
      <c r="B386" s="27">
        <v>4170</v>
      </c>
      <c r="C386" s="18" t="s">
        <v>42</v>
      </c>
      <c r="D386" s="22"/>
      <c r="E386" s="15"/>
    </row>
    <row r="387" spans="1:5" ht="12.75">
      <c r="A387" s="21"/>
      <c r="B387" s="27">
        <v>4210</v>
      </c>
      <c r="C387" s="18" t="s">
        <v>14</v>
      </c>
      <c r="D387" s="22"/>
      <c r="E387" s="15"/>
    </row>
    <row r="388" spans="1:5" ht="12.75">
      <c r="A388" s="21"/>
      <c r="B388" s="27">
        <v>4260</v>
      </c>
      <c r="C388" s="18" t="s">
        <v>43</v>
      </c>
      <c r="D388" s="22"/>
      <c r="E388" s="15"/>
    </row>
    <row r="389" spans="1:5" ht="12.75">
      <c r="A389" s="21"/>
      <c r="B389" s="27">
        <v>4270</v>
      </c>
      <c r="C389" s="18" t="s">
        <v>24</v>
      </c>
      <c r="D389" s="22"/>
      <c r="E389" s="15"/>
    </row>
    <row r="390" spans="1:5" ht="12.75">
      <c r="A390" s="21"/>
      <c r="B390" s="27">
        <v>4300</v>
      </c>
      <c r="C390" s="18" t="s">
        <v>15</v>
      </c>
      <c r="D390" s="22"/>
      <c r="E390" s="15"/>
    </row>
    <row r="391" spans="1:5" ht="26.25" thickBot="1">
      <c r="A391" s="66"/>
      <c r="B391" s="56">
        <v>4370</v>
      </c>
      <c r="C391" s="57" t="s">
        <v>47</v>
      </c>
      <c r="D391" s="58"/>
      <c r="E391" s="15"/>
    </row>
    <row r="392" spans="1:5" ht="13.5" thickBot="1">
      <c r="A392" s="68"/>
      <c r="B392" s="69"/>
      <c r="C392" s="70" t="s">
        <v>112</v>
      </c>
      <c r="D392" s="71">
        <f>SUM(D393,D400,D405)</f>
        <v>0</v>
      </c>
      <c r="E392" s="15"/>
    </row>
    <row r="393" spans="1:5" ht="13.5" thickBot="1">
      <c r="A393" s="62">
        <v>750</v>
      </c>
      <c r="B393" s="63"/>
      <c r="C393" s="64" t="s">
        <v>32</v>
      </c>
      <c r="D393" s="65">
        <f>SUM(D394)</f>
        <v>0</v>
      </c>
      <c r="E393" s="15"/>
    </row>
    <row r="394" spans="1:5" ht="12.75">
      <c r="A394" s="59">
        <v>75011</v>
      </c>
      <c r="B394" s="60"/>
      <c r="C394" s="61" t="s">
        <v>113</v>
      </c>
      <c r="D394" s="28">
        <f>SUM(D395:D399)</f>
        <v>0</v>
      </c>
      <c r="E394" s="15"/>
    </row>
    <row r="395" spans="1:5" ht="12.75">
      <c r="A395" s="21"/>
      <c r="B395" s="27">
        <v>4010</v>
      </c>
      <c r="C395" s="18" t="s">
        <v>37</v>
      </c>
      <c r="D395" s="22"/>
      <c r="E395" s="15"/>
    </row>
    <row r="396" spans="1:5" ht="12.75">
      <c r="A396" s="21"/>
      <c r="B396" s="27">
        <v>4040</v>
      </c>
      <c r="C396" s="18" t="s">
        <v>38</v>
      </c>
      <c r="D396" s="22"/>
      <c r="E396" s="15"/>
    </row>
    <row r="397" spans="1:5" ht="12.75">
      <c r="A397" s="21"/>
      <c r="B397" s="27">
        <v>4110</v>
      </c>
      <c r="C397" s="18" t="s">
        <v>39</v>
      </c>
      <c r="D397" s="22"/>
      <c r="E397" s="15"/>
    </row>
    <row r="398" spans="1:5" ht="12.75">
      <c r="A398" s="21"/>
      <c r="B398" s="27">
        <v>4120</v>
      </c>
      <c r="C398" s="18" t="s">
        <v>40</v>
      </c>
      <c r="D398" s="22"/>
      <c r="E398" s="15"/>
    </row>
    <row r="399" spans="1:5" ht="26.25" thickBot="1">
      <c r="A399" s="66"/>
      <c r="B399" s="56">
        <v>4440</v>
      </c>
      <c r="C399" s="57" t="s">
        <v>50</v>
      </c>
      <c r="D399" s="58"/>
      <c r="E399" s="15"/>
    </row>
    <row r="400" spans="1:5" ht="39" thickBot="1">
      <c r="A400" s="62">
        <v>751</v>
      </c>
      <c r="B400" s="63"/>
      <c r="C400" s="64" t="s">
        <v>114</v>
      </c>
      <c r="D400" s="65">
        <f>SUM(D401)</f>
        <v>0</v>
      </c>
      <c r="E400" s="15"/>
    </row>
    <row r="401" spans="1:5" ht="25.5">
      <c r="A401" s="59">
        <v>75101</v>
      </c>
      <c r="B401" s="60"/>
      <c r="C401" s="61" t="s">
        <v>115</v>
      </c>
      <c r="D401" s="28">
        <f>SUM(D402:D404)</f>
        <v>0</v>
      </c>
      <c r="E401" s="15"/>
    </row>
    <row r="402" spans="1:5" ht="12.75">
      <c r="A402" s="31"/>
      <c r="B402" s="27">
        <v>4010</v>
      </c>
      <c r="C402" s="27" t="s">
        <v>37</v>
      </c>
      <c r="D402" s="22"/>
      <c r="E402" s="15"/>
    </row>
    <row r="403" spans="1:5" ht="12.75">
      <c r="A403" s="21"/>
      <c r="B403" s="27">
        <v>4110</v>
      </c>
      <c r="C403" s="18" t="s">
        <v>39</v>
      </c>
      <c r="D403" s="22"/>
      <c r="E403" s="15"/>
    </row>
    <row r="404" spans="1:5" ht="13.5" thickBot="1">
      <c r="A404" s="66"/>
      <c r="B404" s="56">
        <v>4120</v>
      </c>
      <c r="C404" s="57" t="s">
        <v>40</v>
      </c>
      <c r="D404" s="58"/>
      <c r="E404" s="15"/>
    </row>
    <row r="405" spans="1:5" ht="13.5" thickBot="1">
      <c r="A405" s="62">
        <v>852</v>
      </c>
      <c r="B405" s="63"/>
      <c r="C405" s="64" t="s">
        <v>88</v>
      </c>
      <c r="D405" s="65">
        <f>SUM(D406,D416,D418)</f>
        <v>0</v>
      </c>
      <c r="E405" s="15"/>
    </row>
    <row r="406" spans="1:5" ht="38.25">
      <c r="A406" s="59">
        <v>85212</v>
      </c>
      <c r="B406" s="60"/>
      <c r="C406" s="61" t="s">
        <v>116</v>
      </c>
      <c r="D406" s="72">
        <f>SUM(D407:D415)</f>
        <v>0</v>
      </c>
      <c r="E406" s="15"/>
    </row>
    <row r="407" spans="1:5" ht="12.75">
      <c r="A407" s="21"/>
      <c r="B407" s="27">
        <v>3110</v>
      </c>
      <c r="C407" s="18" t="s">
        <v>91</v>
      </c>
      <c r="D407" s="22"/>
      <c r="E407" s="15"/>
    </row>
    <row r="408" spans="1:5" ht="12.75">
      <c r="A408" s="21"/>
      <c r="B408" s="27">
        <v>4010</v>
      </c>
      <c r="C408" s="18" t="s">
        <v>37</v>
      </c>
      <c r="D408" s="22"/>
      <c r="E408" s="15"/>
    </row>
    <row r="409" spans="1:5" ht="12.75">
      <c r="A409" s="21"/>
      <c r="B409" s="27">
        <v>4040</v>
      </c>
      <c r="C409" s="18" t="s">
        <v>38</v>
      </c>
      <c r="D409" s="22"/>
      <c r="E409" s="15"/>
    </row>
    <row r="410" spans="1:5" ht="12.75">
      <c r="A410" s="21"/>
      <c r="B410" s="27">
        <v>4110</v>
      </c>
      <c r="C410" s="18" t="s">
        <v>39</v>
      </c>
      <c r="D410" s="22"/>
      <c r="E410" s="15"/>
    </row>
    <row r="411" spans="1:5" ht="12.75">
      <c r="A411" s="21"/>
      <c r="B411" s="27">
        <v>4120</v>
      </c>
      <c r="C411" s="18" t="s">
        <v>40</v>
      </c>
      <c r="D411" s="22"/>
      <c r="E411" s="15"/>
    </row>
    <row r="412" spans="1:5" ht="12.75">
      <c r="A412" s="21"/>
      <c r="B412" s="27">
        <v>4210</v>
      </c>
      <c r="C412" s="18" t="s">
        <v>14</v>
      </c>
      <c r="D412" s="22"/>
      <c r="E412" s="15"/>
    </row>
    <row r="413" spans="1:5" ht="12.75">
      <c r="A413" s="21"/>
      <c r="B413" s="27">
        <v>4300</v>
      </c>
      <c r="C413" s="18" t="s">
        <v>15</v>
      </c>
      <c r="D413" s="22"/>
      <c r="E413" s="15"/>
    </row>
    <row r="414" spans="1:5" ht="12.75">
      <c r="A414" s="21"/>
      <c r="B414" s="27">
        <v>4410</v>
      </c>
      <c r="C414" s="18" t="s">
        <v>48</v>
      </c>
      <c r="D414" s="22"/>
      <c r="E414" s="15"/>
    </row>
    <row r="415" spans="1:5" ht="25.5">
      <c r="A415" s="21"/>
      <c r="B415" s="27">
        <v>4440</v>
      </c>
      <c r="C415" s="18" t="s">
        <v>50</v>
      </c>
      <c r="D415" s="22"/>
      <c r="E415" s="15"/>
    </row>
    <row r="416" spans="1:5" ht="51">
      <c r="A416" s="31">
        <v>85213</v>
      </c>
      <c r="B416" s="26"/>
      <c r="C416" s="19" t="s">
        <v>117</v>
      </c>
      <c r="D416" s="20">
        <f>SUM(D417)</f>
        <v>0</v>
      </c>
      <c r="E416" s="15"/>
    </row>
    <row r="417" spans="1:5" ht="12.75">
      <c r="A417" s="21"/>
      <c r="B417" s="27">
        <v>4130</v>
      </c>
      <c r="C417" s="18" t="s">
        <v>118</v>
      </c>
      <c r="D417" s="22">
        <v>0</v>
      </c>
      <c r="E417" s="15"/>
    </row>
    <row r="418" spans="1:5" ht="25.5">
      <c r="A418" s="31">
        <v>85214</v>
      </c>
      <c r="B418" s="26"/>
      <c r="C418" s="19" t="s">
        <v>119</v>
      </c>
      <c r="D418" s="20">
        <f>SUM(D419:D419)</f>
        <v>0</v>
      </c>
      <c r="E418" s="15"/>
    </row>
    <row r="419" spans="1:5" ht="13.5" thickBot="1">
      <c r="A419" s="53"/>
      <c r="B419" s="54">
        <v>3110</v>
      </c>
      <c r="C419" s="23" t="s">
        <v>91</v>
      </c>
      <c r="D419" s="24">
        <v>0</v>
      </c>
      <c r="E419" s="15"/>
    </row>
    <row r="420" spans="1:5" ht="13.5" thickBot="1">
      <c r="A420" s="181" t="s">
        <v>120</v>
      </c>
      <c r="B420" s="182"/>
      <c r="C420" s="183"/>
      <c r="D420" s="73">
        <f>SUM(D392,D8)</f>
        <v>852013</v>
      </c>
      <c r="E420" s="15">
        <f>SUM(E8:E419)</f>
        <v>0</v>
      </c>
    </row>
    <row r="421" spans="1:4" ht="12.75">
      <c r="A421" s="1"/>
      <c r="B421" s="2"/>
      <c r="C421" s="3"/>
      <c r="D421" s="3"/>
    </row>
    <row r="422" spans="1:4" ht="12.75">
      <c r="A422" s="1"/>
      <c r="B422" s="2"/>
      <c r="C422" s="3"/>
      <c r="D422" s="3"/>
    </row>
    <row r="423" spans="1:4" ht="12.75">
      <c r="A423" s="1"/>
      <c r="B423" s="2"/>
      <c r="C423" s="14" t="s">
        <v>128</v>
      </c>
      <c r="D423" s="29"/>
    </row>
    <row r="424" spans="1:4" ht="12.75">
      <c r="A424" s="1"/>
      <c r="B424" s="2"/>
      <c r="C424" s="14" t="s">
        <v>129</v>
      </c>
      <c r="D424" s="4"/>
    </row>
    <row r="425" spans="1:4" ht="12.75">
      <c r="A425" s="1"/>
      <c r="B425" s="2"/>
      <c r="C425" s="14"/>
      <c r="D425" s="4"/>
    </row>
    <row r="426" spans="1:4" ht="12.75">
      <c r="A426" s="1"/>
      <c r="B426" s="2"/>
      <c r="C426" s="14" t="s">
        <v>130</v>
      </c>
      <c r="D426" s="4"/>
    </row>
    <row r="427" spans="1:3" ht="12.75">
      <c r="A427" s="1"/>
      <c r="B427" s="2"/>
      <c r="C427" s="14" t="s">
        <v>131</v>
      </c>
    </row>
  </sheetData>
  <sheetProtection/>
  <autoFilter ref="A6:E350"/>
  <mergeCells count="2">
    <mergeCell ref="C1:D1"/>
    <mergeCell ref="A420:C4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</cp:lastModifiedBy>
  <cp:lastPrinted>2011-11-02T16:01:28Z</cp:lastPrinted>
  <dcterms:created xsi:type="dcterms:W3CDTF">2008-10-31T08:23:04Z</dcterms:created>
  <dcterms:modified xsi:type="dcterms:W3CDTF">2012-01-23T09:19:22Z</dcterms:modified>
  <cp:category/>
  <cp:version/>
  <cp:contentType/>
  <cp:contentStatus/>
</cp:coreProperties>
</file>