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wydatki" sheetId="1" r:id="rId1"/>
    <sheet name="inwestycje" sheetId="2" r:id="rId2"/>
    <sheet name="wynagrodzenia" sheetId="3" r:id="rId3"/>
    <sheet name="dotacje" sheetId="4" r:id="rId4"/>
  </sheets>
  <definedNames>
    <definedName name="_xlnm._FilterDatabase" localSheetId="3" hidden="1">'dotacje'!$A$6:$E$350</definedName>
    <definedName name="_xlnm.Print_Area" localSheetId="0">'wydatki'!$A$1:$AS$512</definedName>
  </definedNames>
  <calcPr fullCalcOnLoad="1"/>
</workbook>
</file>

<file path=xl/comments1.xml><?xml version="1.0" encoding="utf-8"?>
<comments xmlns="http://schemas.openxmlformats.org/spreadsheetml/2006/main">
  <authors>
    <author>UM GOLINA</author>
    <author>Oliwer</author>
  </authors>
  <commentList>
    <comment ref="C37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na dożywianie-od nas 35.000 od nas. Udział własny gminy - min. 20% przewidywanych kosztów
nasze- URZĘDU-15.000-na prace publiczne
reszta będzie z dotacji w trakcie roku</t>
        </r>
      </text>
    </comment>
    <comment ref="AQ40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wg uchwały KRK - na JRP 11.600
na dokumentację - 40.000</t>
        </r>
      </text>
    </comment>
    <comment ref="AQ42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roczna składka na KRK - od ilości mieszkańców - wg ich uchwały</t>
        </r>
      </text>
    </comment>
    <comment ref="AQ14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18sołtysów*4kwartały*600zł za kw-ł=43200 
44.800 - za pobór podatków 8% - uwzgl. wzrost podatków</t>
        </r>
      </text>
    </comment>
    <comment ref="C40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1000 - zakup sadzonek dla pszczelarzy</t>
        </r>
      </text>
    </comment>
    <comment ref="C42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opłaty za korzystanie ze środowiska</t>
        </r>
      </text>
    </comment>
    <comment ref="AQ6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była podwyżka o 50 zł dla przewodniczących rad osiedlowych (3)*12 sesji</t>
        </r>
      </text>
    </comment>
    <comment ref="C40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samochód dla ZGKiM - zał. 7</t>
        </r>
      </text>
    </comment>
    <comment ref="AQ37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na dożywianie - własne-35000 MOPS
na prace społ.użyt.-15000 URZĘDU środki</t>
        </r>
      </text>
    </comment>
    <comment ref="AQ34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117759-dotacja
100000-nasze</t>
        </r>
      </text>
    </comment>
    <comment ref="C1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skł. Członkowska+
skł. Na utrzymanie JRP+
część na inwestycje+</t>
        </r>
      </text>
    </comment>
    <comment ref="C40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samochód dla ZGKiM - zał. 7</t>
        </r>
      </text>
    </comment>
    <comment ref="AQ409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program lider-70.000</t>
        </r>
      </text>
    </comment>
    <comment ref="AQ45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200.000-trybuny
500.000-hala widoiwskowa</t>
        </r>
      </text>
    </comment>
    <comment ref="AQ5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100.000 - dokumentacja Smakosz</t>
        </r>
      </text>
    </comment>
    <comment ref="C157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0,1%&lt; rezerwa ogólna&lt;1% wydatków  suma rezerw celowych (kreyzysowa i inne) &lt; 5% </t>
        </r>
      </text>
    </comment>
    <comment ref="C15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prowizja za udzielenie kredytu</t>
        </r>
      </text>
    </comment>
    <comment ref="AQ44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wiaty przystankowe</t>
        </r>
      </text>
    </comment>
    <comment ref="C42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samochód dla ZGKiM - zał. 7</t>
        </r>
      </text>
    </comment>
    <comment ref="C427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Leader-plac Kazimierza rewitalizacja</t>
        </r>
      </text>
    </comment>
    <comment ref="AQ447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500.000 - OSP Przyjma
144.975-OSP Spławie</t>
        </r>
      </text>
    </comment>
    <comment ref="AQ448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50.000 - OSP Przyjma
48.325 - OSP Spławie</t>
        </r>
      </text>
    </comment>
    <comment ref="AQ433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500.000 - OSP Przyjma
144.975-OSP Spławie</t>
        </r>
      </text>
    </comment>
    <comment ref="AQ434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50.000 - OSP Przyjma
48.325 - OSP Spławie</t>
        </r>
      </text>
    </comment>
  </commentList>
</comments>
</file>

<file path=xl/sharedStrings.xml><?xml version="1.0" encoding="utf-8"?>
<sst xmlns="http://schemas.openxmlformats.org/spreadsheetml/2006/main" count="1900" uniqueCount="221">
  <si>
    <t>Rozdz</t>
  </si>
  <si>
    <t>§</t>
  </si>
  <si>
    <t>Nazwa</t>
  </si>
  <si>
    <t>ZADANIA WŁASNE</t>
  </si>
  <si>
    <t>010</t>
  </si>
  <si>
    <t>Rolnictwo i łowiectwo</t>
  </si>
  <si>
    <t>01010</t>
  </si>
  <si>
    <t>Infrastruktura wodociągowa i sanitacyjna wsi</t>
  </si>
  <si>
    <t xml:space="preserve">Wpłaty gmin i powiatów na rzecz innych jednostek samorządu terytorialnego oraz związków gmin lub związków powiatów na dofinansowanie zadań inwestycyjnych i zakupów inwestycyjnych 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</si>
  <si>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</si>
  <si>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</si>
  <si>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</si>
  <si>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</si>
  <si>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</si>
  <si>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materiałów i wyposażenia</t>
  </si>
  <si>
    <t>Zakup usług pozostałych</t>
  </si>
  <si>
    <t>Różne opłaty i składki</t>
  </si>
  <si>
    <t>Handel</t>
  </si>
  <si>
    <t>Transport i łączność</t>
  </si>
  <si>
    <t>Lokalny Transport zbiorowy</t>
  </si>
  <si>
    <t>Dotacje celowe przekazane gminie lub miastu stołecznemu Warszawie na zadania bieżące realizowane na podstawie porozumień (umów) między jednostkami samorządu terytorialnego</t>
  </si>
  <si>
    <t>Drogi publiczne powiatowe</t>
  </si>
  <si>
    <t>Wydatki na pomoc finansową udzielaną między jednostkami samorządu terytorialnego na dofinansowanie własnych zadań bieżących</t>
  </si>
  <si>
    <t>Drogi publiczne gminne</t>
  </si>
  <si>
    <t>Zakup usług remontowych</t>
  </si>
  <si>
    <t>Kary i odszkodowania wypłacane na rzecz osób fizycznych</t>
  </si>
  <si>
    <t>Wydatki inwestycyjne jednostek budżetowych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</si>
  <si>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</si>
  <si>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</si>
  <si>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</si>
  <si>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</si>
  <si>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 (nieinwestycyjne)</t>
  </si>
  <si>
    <t>Administracja publiczna</t>
  </si>
  <si>
    <t>Rady gmin (miast i miast na prawach powiatu)</t>
  </si>
  <si>
    <t>Różne wydatki na rzecz osób fizycznych</t>
  </si>
  <si>
    <t>Urzędy gmin (miast i miast na prawach powiatu)</t>
  </si>
  <si>
    <t>Nagrody i 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</si>
  <si>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</si>
  <si>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</si>
  <si>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</si>
  <si>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</si>
  <si>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</si>
  <si>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</si>
  <si>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</si>
  <si>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zdrowotnych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</si>
  <si>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</si>
  <si>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</si>
  <si>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</si>
  <si>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</si>
  <si>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Podróże służbowe zagraniczne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</si>
  <si>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</si>
  <si>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</si>
  <si>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</si>
  <si>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</si>
  <si>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</si>
  <si>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Zakup usług dostępu do sieci Internet</t>
  </si>
  <si>
    <t>Opłaty za administrowanie i czynsze za budynki, lokale i pomieszczenia garażowe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</si>
  <si>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</si>
  <si>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</si>
  <si>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</si>
  <si>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Zakup sprzętu i uzbrojenia</t>
  </si>
  <si>
    <t>Wydatki na zakupy inwestycyjne jednostek budżetowych</t>
  </si>
  <si>
    <t>Zarządzanie kryzysowe</t>
  </si>
  <si>
    <t>Rezerwy ogólne i celowe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</si>
  <si>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</si>
  <si>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</si>
  <si>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</si>
  <si>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</si>
  <si>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</si>
  <si>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</si>
  <si>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Różne rozliczenia</t>
  </si>
  <si>
    <t>Oświata i wychowanie</t>
  </si>
  <si>
    <t>Szkoły podstawowe</t>
  </si>
  <si>
    <t>Nagrody i wydatki osobowe nie zaliczone do wynagrodzeń</t>
  </si>
  <si>
    <t>Zakup pomocy  naukowych, dydaktycznych i książek</t>
  </si>
  <si>
    <t>Oddziały przedszkolne w szkołach podstawowych</t>
  </si>
  <si>
    <t>Pomoce naukowe, dydaktyczne, książki</t>
  </si>
  <si>
    <t>Przedszkola</t>
  </si>
  <si>
    <t>Zakup środków żywności</t>
  </si>
  <si>
    <t>Zakup usług obejmujących wykonanie ekspertyz, analiz i opinii</t>
  </si>
  <si>
    <t>Gimnazja</t>
  </si>
  <si>
    <t>Dowożenie uczniów do szkół</t>
  </si>
  <si>
    <t>Zespoły obsługi ekonomiczno-administracyjne szkół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</si>
  <si>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</si>
  <si>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</si>
  <si>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</si>
  <si>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</si>
  <si>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</si>
  <si>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Pomoc społeczna</t>
  </si>
  <si>
    <t>Domy pomocy społecznej</t>
  </si>
  <si>
    <t xml:space="preserve">Zasiłki i pomoc w naturze oraz składki na ubezpieczenia społeczne </t>
  </si>
  <si>
    <t>Świadczenia społeczne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</si>
  <si>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</si>
  <si>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</si>
  <si>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</si>
  <si>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</si>
  <si>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</si>
  <si>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odpadami</t>
  </si>
  <si>
    <t>Oczyszczanie miast i wsi</t>
  </si>
  <si>
    <t>Utrzymanie zieleni w miastach i gminach</t>
  </si>
  <si>
    <t>Oświetlenie ulic, placów i dróg</t>
  </si>
  <si>
    <t>Zakłady gospodarki komunalnej</t>
  </si>
  <si>
    <t>Dotacje celowe z budżetu na finansowanie lub dofinansowanie kosztów realizacji inwestycji i zakupów inwestycyjnych zakładów budżetowych</t>
  </si>
  <si>
    <t xml:space="preserve">Wpłaty gmin i powiatów na rzecz innych jednostek samorządu terytorialnego oraz związków gmin lub związków powiatów na dofinansowanie zadań bieżących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</si>
  <si>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</si>
  <si>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</si>
  <si>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</si>
  <si>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</si>
  <si>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</si>
  <si>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Obiekty sportowe</t>
  </si>
  <si>
    <t>Zadania w zakresie kultury fizycznej i sportu</t>
  </si>
  <si>
    <t>Dotacje celowe z budżetu na finansowanie lub dofinansowanie zadań zleconych</t>
  </si>
  <si>
    <t>ZADANIA ZLECONE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</si>
  <si>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</si>
  <si>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</si>
  <si>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</si>
  <si>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</si>
  <si>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</si>
  <si>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</si>
  <si>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 społeczne</t>
  </si>
  <si>
    <t>Razem wydatki</t>
  </si>
  <si>
    <t>Plan na rok 2009</t>
  </si>
  <si>
    <t>Zakup usług przez jednostki samorządu terytorialnego od innych jednostek samorządu terytorialnego</t>
  </si>
  <si>
    <t>Plan wydatków budżetowych na rok 2009</t>
  </si>
  <si>
    <t>Załącznik Nr 2 do Uchwały Rady Miejskiej w Golinie Nr  ………./……./2008 z dnia ………….. 2008 roku</t>
  </si>
  <si>
    <t>Gospodarka ściekowa i ochrona wód</t>
  </si>
  <si>
    <t>Komendy wojewódzkie Policji</t>
  </si>
  <si>
    <t>Wpłaty jednostek na fundusz celowy na finansowanie lub dofinansowanie zadań inwestycyjnych</t>
  </si>
  <si>
    <t xml:space="preserve">                                                                                       Przewodniczący Rady Miejskiej </t>
  </si>
  <si>
    <t xml:space="preserve">                                                                                                 Lech Kwiatkowski</t>
  </si>
  <si>
    <t xml:space="preserve">                                                                                      ...........................................</t>
  </si>
  <si>
    <t xml:space="preserve">                                                                                                       ( podpis)</t>
  </si>
  <si>
    <t>Ochrona zabytków i opieka nad zabytkami</t>
  </si>
  <si>
    <t>Rezerwy</t>
  </si>
  <si>
    <t>Drogi publiczne wojewódzkie</t>
  </si>
  <si>
    <t>Koszty postępowania sądowego i prokuratorskiego</t>
  </si>
  <si>
    <t>Pozostałe odsetki</t>
  </si>
  <si>
    <t>Wypłaty z tytułu gwarancji i poręczeń</t>
  </si>
  <si>
    <t>Rozliczenia z tytułu poręczeń i gwarancji udzielonych przez Skarb Państwa lub jednostkę samorządu terytorialnego</t>
  </si>
  <si>
    <t>Zakup usług remontowo-konserwatorskich, dotyczących obiektów zabytkowych będących w użytkowaniu jednostek budżetowych</t>
  </si>
  <si>
    <t>Zwiększenia (+) Zmniejszenia (-)</t>
  </si>
  <si>
    <t>26.01</t>
  </si>
  <si>
    <t>19.02</t>
  </si>
  <si>
    <t>19.03</t>
  </si>
  <si>
    <t>Dotacja celowa na pomoc finansową udzielaną między jednostkami samorządu terytorialnego na dofinansowanie własnych zadań inwestycyjnych i zakupów inwestycyjnych</t>
  </si>
  <si>
    <t>Pomoc materialna dla uczniów</t>
  </si>
  <si>
    <t>Stypendia dla uczniów</t>
  </si>
  <si>
    <t>7.04.</t>
  </si>
  <si>
    <t>31.03</t>
  </si>
  <si>
    <t>Wybory do Parlamentu Europejskiego</t>
  </si>
  <si>
    <t>27.04</t>
  </si>
  <si>
    <t>dodatek do wynagrodzenia 4350 stanowi 117,89%</t>
  </si>
  <si>
    <t>15,44 ZUS i 2,45 F.Pracy</t>
  </si>
  <si>
    <t>4170</t>
  </si>
  <si>
    <t>4120</t>
  </si>
  <si>
    <t>razem</t>
  </si>
  <si>
    <t>23.02</t>
  </si>
  <si>
    <t>Schroniska dla zwierząt</t>
  </si>
  <si>
    <t>dotacje =</t>
  </si>
  <si>
    <t>Przewodniczący Rady Miejskiej</t>
  </si>
  <si>
    <t xml:space="preserve">          Lech Kwiatkowski</t>
  </si>
  <si>
    <t>Turystyka</t>
  </si>
  <si>
    <t>401</t>
  </si>
  <si>
    <t>411</t>
  </si>
  <si>
    <t>412</t>
  </si>
  <si>
    <t>417</t>
  </si>
  <si>
    <t>22.05</t>
  </si>
  <si>
    <t>4.06.</t>
  </si>
  <si>
    <t>Dotacje celowe z budżetu na finansowanie lub dofinansowanie kosztów realizacji inwestycji i zakupów inwestycyjnych innych jednostek sektora finansów publicznych</t>
  </si>
  <si>
    <t>5.06</t>
  </si>
  <si>
    <t>Inne formy pomocy dla uczniów</t>
  </si>
  <si>
    <t>30.06</t>
  </si>
  <si>
    <t>10.07</t>
  </si>
  <si>
    <t>31.07</t>
  </si>
  <si>
    <t>dodatek do wynagrodzenia 6486 stanowi 117,89%</t>
  </si>
  <si>
    <t xml:space="preserve"> 250 zł na pracownika socjalnego</t>
  </si>
  <si>
    <t>Rozliczenia z bankami związane z obsługą długu publicznego</t>
  </si>
  <si>
    <t>27.08</t>
  </si>
  <si>
    <t>artykuł prasowy, 1400zł netto</t>
  </si>
  <si>
    <t>Umowa 12*488 za rok=</t>
  </si>
  <si>
    <t xml:space="preserve">                                                   Przewodniczący Rady Miejskiej</t>
  </si>
  <si>
    <t xml:space="preserve">                                                            Lech Kwiatkowski</t>
  </si>
  <si>
    <t>14.09</t>
  </si>
  <si>
    <t>na animatora orlik + stała umowa 620*12 + sędziowanie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</si>
  <si>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</si>
  <si>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</si>
  <si>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umowa 3*366zł - na czas nieokresłony !!!!</t>
  </si>
  <si>
    <t>macierzyński</t>
  </si>
  <si>
    <t>70005-4300-95125 - nie rusz - Bursztyn - zagmatwane umowy</t>
  </si>
  <si>
    <t>30.09</t>
  </si>
  <si>
    <t>29.10</t>
  </si>
  <si>
    <t>Plan na 30.09.2009</t>
  </si>
  <si>
    <t>wykon.2008</t>
  </si>
  <si>
    <t>wykon. 30.09.2009</t>
  </si>
  <si>
    <t>Plan na rok 2010</t>
  </si>
  <si>
    <t>zaplanuj wydatki w ramach urzędu na samochód kupiony w 2008</t>
  </si>
  <si>
    <t>PLAN W WYSOKOŚCI 2% PLANU PODATKU ROLNEGO</t>
  </si>
  <si>
    <t>JAKIES OPŁATY Z RADY PRZENIESIONE</t>
  </si>
  <si>
    <t>zaplanuj na  prace społ.-użyteczne w urzędzie - 2009 4550</t>
  </si>
  <si>
    <t>wyliczyć z tabeli</t>
  </si>
  <si>
    <t>Zadania w zakresie przeciwdziałania przemocy w rodzinie</t>
  </si>
  <si>
    <t>Zasiłki i pomoc w naturze oraz składki na ubezpieczenia emerytalne i rentowe</t>
  </si>
  <si>
    <t>Zasiłki stałe</t>
  </si>
  <si>
    <t>18sołtysów*4kwartały*600zł za kw-ł=43200 + 8% od większe podatki</t>
  </si>
  <si>
    <t>dochody</t>
  </si>
  <si>
    <t>deficyt</t>
  </si>
  <si>
    <t>Plan wydatków budżetowych na rok 2010</t>
  </si>
  <si>
    <t>Dochody</t>
  </si>
  <si>
    <t>Wydatki</t>
  </si>
  <si>
    <t>wzrost o</t>
  </si>
  <si>
    <t>rozchody</t>
  </si>
  <si>
    <t>krótkoterm</t>
  </si>
  <si>
    <t>przychody=kredyt</t>
  </si>
  <si>
    <t>przełożyć do celowych</t>
  </si>
  <si>
    <t>przychody=zwrot pożyczki</t>
  </si>
  <si>
    <t>kredyt długoterminowy</t>
  </si>
  <si>
    <t>kredyt długoterminowy+krótkoterminowy</t>
  </si>
  <si>
    <t>uwaga- tu 70.000 zachachmęcone na lidera</t>
  </si>
  <si>
    <t>Odsetki od samorządowych papierów wartościowych lub zaciągniętych przez jednostkę samorządu terytorialnego kredytów i pożyczek</t>
  </si>
  <si>
    <t>12.01.</t>
  </si>
  <si>
    <t>Załącznik Nr 1 do Zarządzenia Burmistrza Goliny Nr 1 / 2010 z dnia 12 stycznia 2010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</si>
</sst>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&quot; zł&quot;_-;\-* #,##0.00&quot; zł&quot;_-;_-* \-??&quot; zł&quot;_-;_-@_-"/>
    <numFmt numFmtId="170" formatCode="#,##0.00&quot; zł&quot;;[Red]\-#,##0.00&quot; zł&quot;"/>
  </numFmts>
  <fonts count="51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i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164" fontId="2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/>
    </xf>
    <xf numFmtId="49" fontId="3" fillId="34" borderId="22" xfId="0" applyNumberFormat="1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wrapText="1"/>
    </xf>
    <xf numFmtId="164" fontId="3" fillId="34" borderId="24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164" fontId="4" fillId="0" borderId="27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164" fontId="1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wrapText="1"/>
    </xf>
    <xf numFmtId="0" fontId="3" fillId="34" borderId="34" xfId="0" applyFont="1" applyFill="1" applyBorder="1" applyAlignment="1">
      <alignment horizontal="right"/>
    </xf>
    <xf numFmtId="0" fontId="3" fillId="34" borderId="35" xfId="0" applyFont="1" applyFill="1" applyBorder="1" applyAlignment="1">
      <alignment/>
    </xf>
    <xf numFmtId="0" fontId="3" fillId="34" borderId="35" xfId="0" applyFont="1" applyFill="1" applyBorder="1" applyAlignment="1">
      <alignment wrapText="1"/>
    </xf>
    <xf numFmtId="164" fontId="3" fillId="34" borderId="36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1" fillId="33" borderId="34" xfId="0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0" fontId="3" fillId="33" borderId="35" xfId="0" applyFont="1" applyFill="1" applyBorder="1" applyAlignment="1">
      <alignment wrapText="1"/>
    </xf>
    <xf numFmtId="164" fontId="3" fillId="33" borderId="36" xfId="0" applyNumberFormat="1" applyFont="1" applyFill="1" applyBorder="1" applyAlignment="1">
      <alignment/>
    </xf>
    <xf numFmtId="164" fontId="4" fillId="0" borderId="16" xfId="0" applyNumberFormat="1" applyFont="1" applyFill="1" applyBorder="1" applyAlignment="1" applyProtection="1">
      <alignment/>
      <protection/>
    </xf>
    <xf numFmtId="164" fontId="3" fillId="35" borderId="3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64" fontId="1" fillId="36" borderId="12" xfId="0" applyNumberFormat="1" applyFont="1" applyFill="1" applyBorder="1" applyAlignment="1">
      <alignment/>
    </xf>
    <xf numFmtId="3" fontId="0" fillId="0" borderId="38" xfId="0" applyNumberFormat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3" fillId="34" borderId="38" xfId="0" applyNumberFormat="1" applyFont="1" applyFill="1" applyBorder="1" applyAlignment="1">
      <alignment horizontal="right"/>
    </xf>
    <xf numFmtId="3" fontId="3" fillId="33" borderId="40" xfId="0" applyNumberFormat="1" applyFont="1" applyFill="1" applyBorder="1" applyAlignment="1">
      <alignment horizontal="right"/>
    </xf>
    <xf numFmtId="3" fontId="3" fillId="35" borderId="37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49" fontId="3" fillId="0" borderId="46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wrapText="1"/>
    </xf>
    <xf numFmtId="164" fontId="3" fillId="0" borderId="47" xfId="0" applyNumberFormat="1" applyFont="1" applyFill="1" applyBorder="1" applyAlignment="1">
      <alignment horizontal="center" wrapText="1"/>
    </xf>
    <xf numFmtId="3" fontId="9" fillId="0" borderId="37" xfId="0" applyNumberFormat="1" applyFont="1" applyBorder="1" applyAlignment="1">
      <alignment horizontal="right" wrapText="1"/>
    </xf>
    <xf numFmtId="3" fontId="3" fillId="33" borderId="3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/>
    </xf>
    <xf numFmtId="164" fontId="3" fillId="0" borderId="48" xfId="0" applyNumberFormat="1" applyFont="1" applyFill="1" applyBorder="1" applyAlignment="1">
      <alignment horizontal="center" wrapText="1"/>
    </xf>
    <xf numFmtId="0" fontId="3" fillId="0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3" fillId="0" borderId="50" xfId="0" applyNumberFormat="1" applyFont="1" applyFill="1" applyBorder="1" applyAlignment="1">
      <alignment horizontal="center" wrapText="1"/>
    </xf>
    <xf numFmtId="0" fontId="3" fillId="0" borderId="51" xfId="0" applyNumberFormat="1" applyFont="1" applyFill="1" applyBorder="1" applyAlignment="1">
      <alignment horizontal="center"/>
    </xf>
    <xf numFmtId="3" fontId="0" fillId="0" borderId="39" xfId="0" applyNumberFormat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 wrapText="1"/>
    </xf>
    <xf numFmtId="3" fontId="9" fillId="0" borderId="53" xfId="0" applyNumberFormat="1" applyFont="1" applyBorder="1" applyAlignment="1">
      <alignment horizontal="right" wrapText="1"/>
    </xf>
    <xf numFmtId="0" fontId="3" fillId="0" borderId="25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4" fontId="3" fillId="0" borderId="54" xfId="0" applyNumberFormat="1" applyFont="1" applyFill="1" applyBorder="1" applyAlignment="1">
      <alignment horizontal="center" wrapText="1"/>
    </xf>
    <xf numFmtId="0" fontId="3" fillId="0" borderId="5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3" fontId="3" fillId="33" borderId="53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>
      <alignment horizontal="right"/>
    </xf>
    <xf numFmtId="3" fontId="3" fillId="33" borderId="5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0" fillId="0" borderId="57" xfId="0" applyNumberFormat="1" applyBorder="1" applyAlignment="1">
      <alignment horizontal="right"/>
    </xf>
    <xf numFmtId="3" fontId="9" fillId="0" borderId="48" xfId="0" applyNumberFormat="1" applyFont="1" applyBorder="1" applyAlignment="1">
      <alignment horizontal="right" wrapText="1"/>
    </xf>
    <xf numFmtId="0" fontId="3" fillId="0" borderId="58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Border="1" applyAlignment="1">
      <alignment/>
    </xf>
    <xf numFmtId="10" fontId="0" fillId="0" borderId="0" xfId="0" applyNumberFormat="1" applyAlignment="1">
      <alignment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/>
    </xf>
    <xf numFmtId="0" fontId="5" fillId="37" borderId="0" xfId="0" applyFont="1" applyFill="1" applyAlignment="1">
      <alignment/>
    </xf>
    <xf numFmtId="49" fontId="5" fillId="37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 horizontal="right"/>
    </xf>
    <xf numFmtId="3" fontId="0" fillId="38" borderId="0" xfId="0" applyNumberFormat="1" applyFill="1" applyBorder="1" applyAlignment="1">
      <alignment horizontal="right"/>
    </xf>
    <xf numFmtId="3" fontId="0" fillId="38" borderId="0" xfId="0" applyNumberFormat="1" applyFill="1" applyBorder="1" applyAlignment="1">
      <alignment/>
    </xf>
    <xf numFmtId="3" fontId="0" fillId="37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12" fillId="0" borderId="13" xfId="0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0" fillId="0" borderId="0" xfId="0" applyNumberFormat="1" applyBorder="1" applyAlignment="1">
      <alignment/>
    </xf>
    <xf numFmtId="10" fontId="0" fillId="39" borderId="0" xfId="0" applyNumberFormat="1" applyFill="1" applyBorder="1" applyAlignment="1">
      <alignment horizontal="right"/>
    </xf>
    <xf numFmtId="0" fontId="1" fillId="0" borderId="11" xfId="0" applyFont="1" applyFill="1" applyBorder="1" applyAlignment="1">
      <alignment vertical="top"/>
    </xf>
    <xf numFmtId="164" fontId="3" fillId="0" borderId="26" xfId="0" applyNumberFormat="1" applyFont="1" applyFill="1" applyBorder="1" applyAlignment="1">
      <alignment horizontal="center" wrapText="1"/>
    </xf>
    <xf numFmtId="164" fontId="3" fillId="0" borderId="55" xfId="0" applyNumberFormat="1" applyFont="1" applyFill="1" applyBorder="1" applyAlignment="1">
      <alignment horizontal="center" wrapText="1"/>
    </xf>
    <xf numFmtId="3" fontId="3" fillId="33" borderId="38" xfId="0" applyNumberFormat="1" applyFont="1" applyFill="1" applyBorder="1" applyAlignment="1">
      <alignment horizontal="right"/>
    </xf>
    <xf numFmtId="3" fontId="0" fillId="37" borderId="0" xfId="0" applyNumberFormat="1" applyFill="1" applyBorder="1" applyAlignment="1">
      <alignment/>
    </xf>
    <xf numFmtId="3" fontId="0" fillId="40" borderId="38" xfId="0" applyNumberFormat="1" applyFill="1" applyBorder="1" applyAlignment="1">
      <alignment horizontal="right"/>
    </xf>
    <xf numFmtId="4" fontId="3" fillId="0" borderId="30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10" fillId="0" borderId="3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41" borderId="0" xfId="0" applyNumberFormat="1" applyFill="1" applyBorder="1" applyAlignment="1">
      <alignment/>
    </xf>
    <xf numFmtId="3" fontId="0" fillId="41" borderId="0" xfId="0" applyNumberFormat="1" applyFill="1" applyBorder="1" applyAlignment="1">
      <alignment horizontal="right"/>
    </xf>
    <xf numFmtId="0" fontId="0" fillId="41" borderId="0" xfId="0" applyFill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>
      <alignment wrapText="1"/>
    </xf>
    <xf numFmtId="3" fontId="3" fillId="33" borderId="59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3" fontId="3" fillId="33" borderId="61" xfId="0" applyNumberFormat="1" applyFont="1" applyFill="1" applyBorder="1" applyAlignment="1">
      <alignment horizontal="right"/>
    </xf>
    <xf numFmtId="3" fontId="3" fillId="33" borderId="62" xfId="0" applyNumberFormat="1" applyFont="1" applyFill="1" applyBorder="1" applyAlignment="1">
      <alignment horizontal="right"/>
    </xf>
    <xf numFmtId="3" fontId="3" fillId="33" borderId="29" xfId="0" applyNumberFormat="1" applyFont="1" applyFill="1" applyBorder="1" applyAlignment="1">
      <alignment horizontal="right"/>
    </xf>
    <xf numFmtId="4" fontId="3" fillId="33" borderId="54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3" fontId="3" fillId="34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0" fillId="42" borderId="11" xfId="0" applyNumberFormat="1" applyFill="1" applyBorder="1" applyAlignment="1">
      <alignment/>
    </xf>
    <xf numFmtId="4" fontId="3" fillId="34" borderId="11" xfId="0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/>
    </xf>
    <xf numFmtId="0" fontId="4" fillId="0" borderId="11" xfId="0" applyFont="1" applyBorder="1" applyAlignment="1">
      <alignment horizontal="left" wrapText="1"/>
    </xf>
    <xf numFmtId="4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42" borderId="11" xfId="0" applyNumberFormat="1" applyFill="1" applyBorder="1" applyAlignment="1">
      <alignment/>
    </xf>
    <xf numFmtId="9" fontId="4" fillId="0" borderId="11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/>
    </xf>
    <xf numFmtId="3" fontId="4" fillId="0" borderId="11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0" fillId="40" borderId="11" xfId="0" applyNumberFormat="1" applyFill="1" applyBorder="1" applyAlignment="1">
      <alignment/>
    </xf>
    <xf numFmtId="3" fontId="1" fillId="38" borderId="11" xfId="0" applyNumberFormat="1" applyFont="1" applyFill="1" applyBorder="1" applyAlignment="1">
      <alignment horizontal="right"/>
    </xf>
    <xf numFmtId="3" fontId="0" fillId="38" borderId="11" xfId="0" applyNumberFormat="1" applyFill="1" applyBorder="1" applyAlignment="1">
      <alignment horizontal="right"/>
    </xf>
    <xf numFmtId="49" fontId="3" fillId="34" borderId="25" xfId="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/>
    </xf>
    <xf numFmtId="0" fontId="3" fillId="34" borderId="26" xfId="0" applyFont="1" applyFill="1" applyBorder="1" applyAlignment="1">
      <alignment wrapText="1"/>
    </xf>
    <xf numFmtId="3" fontId="3" fillId="34" borderId="26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3" fontId="3" fillId="34" borderId="55" xfId="0" applyNumberFormat="1" applyFont="1" applyFill="1" applyBorder="1" applyAlignment="1">
      <alignment horizontal="right"/>
    </xf>
    <xf numFmtId="3" fontId="0" fillId="37" borderId="39" xfId="0" applyNumberFormat="1" applyFill="1" applyBorder="1" applyAlignment="1">
      <alignment horizontal="right"/>
    </xf>
    <xf numFmtId="3" fontId="3" fillId="34" borderId="39" xfId="0" applyNumberFormat="1" applyFont="1" applyFill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4" fillId="0" borderId="39" xfId="0" applyNumberFormat="1" applyFont="1" applyFill="1" applyBorder="1" applyAlignment="1" applyProtection="1">
      <alignment horizontal="right"/>
      <protection/>
    </xf>
    <xf numFmtId="4" fontId="0" fillId="0" borderId="30" xfId="0" applyNumberFormat="1" applyBorder="1" applyAlignment="1">
      <alignment/>
    </xf>
    <xf numFmtId="3" fontId="3" fillId="35" borderId="35" xfId="0" applyNumberFormat="1" applyFont="1" applyFill="1" applyBorder="1" applyAlignment="1">
      <alignment horizontal="right"/>
    </xf>
    <xf numFmtId="4" fontId="3" fillId="35" borderId="35" xfId="0" applyNumberFormat="1" applyFont="1" applyFill="1" applyBorder="1" applyAlignment="1">
      <alignment horizontal="right"/>
    </xf>
    <xf numFmtId="3" fontId="3" fillId="35" borderId="40" xfId="0" applyNumberFormat="1" applyFont="1" applyFill="1" applyBorder="1" applyAlignment="1">
      <alignment horizontal="right"/>
    </xf>
    <xf numFmtId="49" fontId="3" fillId="34" borderId="32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33" xfId="0" applyFont="1" applyFill="1" applyBorder="1" applyAlignment="1">
      <alignment wrapText="1"/>
    </xf>
    <xf numFmtId="3" fontId="3" fillId="33" borderId="33" xfId="0" applyNumberFormat="1" applyFont="1" applyFill="1" applyBorder="1" applyAlignment="1">
      <alignment horizontal="right"/>
    </xf>
    <xf numFmtId="3" fontId="3" fillId="34" borderId="33" xfId="0" applyNumberFormat="1" applyFont="1" applyFill="1" applyBorder="1" applyAlignment="1">
      <alignment horizontal="right"/>
    </xf>
    <xf numFmtId="4" fontId="3" fillId="34" borderId="33" xfId="0" applyNumberFormat="1" applyFont="1" applyFill="1" applyBorder="1" applyAlignment="1">
      <alignment horizontal="right"/>
    </xf>
    <xf numFmtId="3" fontId="3" fillId="34" borderId="63" xfId="0" applyNumberFormat="1" applyFont="1" applyFill="1" applyBorder="1" applyAlignment="1">
      <alignment horizontal="right"/>
    </xf>
    <xf numFmtId="3" fontId="3" fillId="34" borderId="64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4" fontId="3" fillId="33" borderId="35" xfId="0" applyNumberFormat="1" applyFont="1" applyFill="1" applyBorder="1" applyAlignment="1">
      <alignment horizontal="right"/>
    </xf>
    <xf numFmtId="3" fontId="3" fillId="34" borderId="60" xfId="0" applyNumberFormat="1" applyFont="1" applyFill="1" applyBorder="1" applyAlignment="1">
      <alignment horizontal="right"/>
    </xf>
    <xf numFmtId="3" fontId="4" fillId="0" borderId="65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/>
    </xf>
    <xf numFmtId="3" fontId="0" fillId="37" borderId="38" xfId="0" applyNumberFormat="1" applyFill="1" applyBorder="1" applyAlignment="1">
      <alignment/>
    </xf>
    <xf numFmtId="3" fontId="3" fillId="34" borderId="37" xfId="0" applyNumberFormat="1" applyFont="1" applyFill="1" applyBorder="1" applyAlignment="1">
      <alignment horizontal="right"/>
    </xf>
    <xf numFmtId="3" fontId="0" fillId="0" borderId="66" xfId="0" applyNumberFormat="1" applyBorder="1" applyAlignment="1">
      <alignment horizontal="right"/>
    </xf>
    <xf numFmtId="3" fontId="0" fillId="0" borderId="67" xfId="0" applyNumberFormat="1" applyBorder="1" applyAlignment="1">
      <alignment horizontal="right"/>
    </xf>
    <xf numFmtId="164" fontId="3" fillId="0" borderId="68" xfId="0" applyNumberFormat="1" applyFont="1" applyFill="1" applyBorder="1" applyAlignment="1">
      <alignment horizontal="center" wrapText="1"/>
    </xf>
    <xf numFmtId="3" fontId="3" fillId="34" borderId="68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37" borderId="66" xfId="0" applyNumberFormat="1" applyFill="1" applyBorder="1" applyAlignment="1">
      <alignment horizontal="right"/>
    </xf>
    <xf numFmtId="3" fontId="3" fillId="34" borderId="66" xfId="0" applyNumberFormat="1" applyFont="1" applyFill="1" applyBorder="1" applyAlignment="1">
      <alignment horizontal="right"/>
    </xf>
    <xf numFmtId="3" fontId="0" fillId="43" borderId="66" xfId="0" applyNumberFormat="1" applyFill="1" applyBorder="1" applyAlignment="1">
      <alignment horizontal="right"/>
    </xf>
    <xf numFmtId="3" fontId="11" fillId="0" borderId="66" xfId="0" applyNumberFormat="1" applyFont="1" applyBorder="1" applyAlignment="1">
      <alignment horizontal="right"/>
    </xf>
    <xf numFmtId="3" fontId="4" fillId="0" borderId="66" xfId="0" applyNumberFormat="1" applyFont="1" applyFill="1" applyBorder="1" applyAlignment="1" applyProtection="1">
      <alignment horizontal="right"/>
      <protection/>
    </xf>
    <xf numFmtId="3" fontId="0" fillId="38" borderId="66" xfId="0" applyNumberFormat="1" applyFill="1" applyBorder="1" applyAlignment="1">
      <alignment horizontal="right"/>
    </xf>
    <xf numFmtId="3" fontId="0" fillId="0" borderId="69" xfId="0" applyNumberFormat="1" applyBorder="1" applyAlignment="1">
      <alignment horizontal="right"/>
    </xf>
    <xf numFmtId="3" fontId="3" fillId="33" borderId="48" xfId="0" applyNumberFormat="1" applyFont="1" applyFill="1" applyBorder="1" applyAlignment="1">
      <alignment horizontal="right"/>
    </xf>
    <xf numFmtId="3" fontId="3" fillId="34" borderId="70" xfId="0" applyNumberFormat="1" applyFont="1" applyFill="1" applyBorder="1" applyAlignment="1">
      <alignment horizontal="right"/>
    </xf>
    <xf numFmtId="3" fontId="3" fillId="33" borderId="66" xfId="0" applyNumberFormat="1" applyFont="1" applyFill="1" applyBorder="1" applyAlignment="1">
      <alignment horizontal="right"/>
    </xf>
    <xf numFmtId="3" fontId="4" fillId="37" borderId="66" xfId="0" applyNumberFormat="1" applyFont="1" applyFill="1" applyBorder="1" applyAlignment="1" applyProtection="1">
      <alignment horizontal="right"/>
      <protection/>
    </xf>
    <xf numFmtId="3" fontId="4" fillId="37" borderId="66" xfId="0" applyNumberFormat="1" applyFont="1" applyFill="1" applyBorder="1" applyAlignment="1">
      <alignment horizontal="right"/>
    </xf>
    <xf numFmtId="3" fontId="4" fillId="42" borderId="66" xfId="0" applyNumberFormat="1" applyFont="1" applyFill="1" applyBorder="1" applyAlignment="1">
      <alignment horizontal="right"/>
    </xf>
    <xf numFmtId="3" fontId="0" fillId="42" borderId="69" xfId="0" applyNumberFormat="1" applyFill="1" applyBorder="1" applyAlignment="1">
      <alignment horizontal="right"/>
    </xf>
    <xf numFmtId="3" fontId="3" fillId="35" borderId="48" xfId="0" applyNumberFormat="1" applyFont="1" applyFill="1" applyBorder="1" applyAlignment="1">
      <alignment horizontal="right"/>
    </xf>
    <xf numFmtId="0" fontId="3" fillId="0" borderId="71" xfId="0" applyNumberFormat="1" applyFont="1" applyFill="1" applyBorder="1" applyAlignment="1">
      <alignment horizontal="center"/>
    </xf>
    <xf numFmtId="3" fontId="3" fillId="33" borderId="72" xfId="0" applyNumberFormat="1" applyFont="1" applyFill="1" applyBorder="1" applyAlignment="1">
      <alignment horizontal="right"/>
    </xf>
    <xf numFmtId="3" fontId="3" fillId="34" borderId="73" xfId="0" applyNumberFormat="1" applyFont="1" applyFill="1" applyBorder="1" applyAlignment="1">
      <alignment horizontal="right"/>
    </xf>
    <xf numFmtId="3" fontId="4" fillId="0" borderId="74" xfId="0" applyNumberFormat="1" applyFont="1" applyFill="1" applyBorder="1" applyAlignment="1">
      <alignment horizontal="right"/>
    </xf>
    <xf numFmtId="3" fontId="0" fillId="0" borderId="75" xfId="0" applyNumberFormat="1" applyBorder="1" applyAlignment="1">
      <alignment horizontal="right"/>
    </xf>
    <xf numFmtId="3" fontId="0" fillId="37" borderId="75" xfId="0" applyNumberFormat="1" applyFill="1" applyBorder="1" applyAlignment="1">
      <alignment horizontal="right"/>
    </xf>
    <xf numFmtId="3" fontId="4" fillId="0" borderId="75" xfId="0" applyNumberFormat="1" applyFont="1" applyFill="1" applyBorder="1" applyAlignment="1">
      <alignment horizontal="right"/>
    </xf>
    <xf numFmtId="3" fontId="3" fillId="34" borderId="75" xfId="0" applyNumberFormat="1" applyFont="1" applyFill="1" applyBorder="1" applyAlignment="1">
      <alignment horizontal="right"/>
    </xf>
    <xf numFmtId="3" fontId="3" fillId="34" borderId="76" xfId="0" applyNumberFormat="1" applyFont="1" applyFill="1" applyBorder="1" applyAlignment="1">
      <alignment horizontal="right"/>
    </xf>
    <xf numFmtId="3" fontId="3" fillId="33" borderId="75" xfId="0" applyNumberFormat="1" applyFont="1" applyFill="1" applyBorder="1" applyAlignment="1">
      <alignment horizontal="right"/>
    </xf>
    <xf numFmtId="3" fontId="3" fillId="35" borderId="72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3" fillId="34" borderId="52" xfId="0" applyNumberFormat="1" applyFont="1" applyFill="1" applyBorder="1" applyAlignment="1">
      <alignment horizontal="right"/>
    </xf>
    <xf numFmtId="3" fontId="0" fillId="37" borderId="52" xfId="0" applyNumberFormat="1" applyFill="1" applyBorder="1" applyAlignment="1">
      <alignment horizontal="right"/>
    </xf>
    <xf numFmtId="3" fontId="0" fillId="43" borderId="52" xfId="0" applyNumberFormat="1" applyFill="1" applyBorder="1" applyAlignment="1">
      <alignment horizontal="right"/>
    </xf>
    <xf numFmtId="3" fontId="11" fillId="0" borderId="52" xfId="0" applyNumberFormat="1" applyFont="1" applyBorder="1" applyAlignment="1">
      <alignment horizontal="right"/>
    </xf>
    <xf numFmtId="3" fontId="4" fillId="0" borderId="52" xfId="0" applyNumberFormat="1" applyFont="1" applyFill="1" applyBorder="1" applyAlignment="1" applyProtection="1">
      <alignment horizontal="right"/>
      <protection/>
    </xf>
    <xf numFmtId="3" fontId="0" fillId="38" borderId="52" xfId="0" applyNumberFormat="1" applyFill="1" applyBorder="1" applyAlignment="1">
      <alignment horizontal="right"/>
    </xf>
    <xf numFmtId="3" fontId="4" fillId="37" borderId="52" xfId="0" applyNumberFormat="1" applyFont="1" applyFill="1" applyBorder="1" applyAlignment="1" applyProtection="1">
      <alignment horizontal="right"/>
      <protection/>
    </xf>
    <xf numFmtId="3" fontId="4" fillId="37" borderId="52" xfId="0" applyNumberFormat="1" applyFont="1" applyFill="1" applyBorder="1" applyAlignment="1">
      <alignment horizontal="right"/>
    </xf>
    <xf numFmtId="3" fontId="4" fillId="42" borderId="52" xfId="0" applyNumberFormat="1" applyFont="1" applyFill="1" applyBorder="1" applyAlignment="1">
      <alignment horizontal="right"/>
    </xf>
    <xf numFmtId="3" fontId="0" fillId="42" borderId="52" xfId="0" applyNumberFormat="1" applyFill="1" applyBorder="1" applyAlignment="1">
      <alignment horizontal="right"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164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wrapText="1"/>
    </xf>
    <xf numFmtId="0" fontId="3" fillId="35" borderId="45" xfId="0" applyFont="1" applyFill="1" applyBorder="1" applyAlignment="1">
      <alignment/>
    </xf>
    <xf numFmtId="0" fontId="3" fillId="35" borderId="77" xfId="0" applyFont="1" applyFill="1" applyBorder="1" applyAlignment="1">
      <alignment/>
    </xf>
    <xf numFmtId="0" fontId="3" fillId="35" borderId="78" xfId="0" applyFont="1" applyFill="1" applyBorder="1" applyAlignment="1">
      <alignment/>
    </xf>
    <xf numFmtId="0" fontId="0" fillId="44" borderId="0" xfId="0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29"/>
  <sheetViews>
    <sheetView zoomScalePageLayoutView="0" workbookViewId="0" topLeftCell="A167">
      <selection activeCell="AZ511" sqref="AZ511"/>
    </sheetView>
  </sheetViews>
  <sheetFormatPr defaultColWidth="9.00390625" defaultRowHeight="12.75"/>
  <cols>
    <col min="1" max="1" width="6.00390625" style="1" customWidth="1"/>
    <col min="2" max="2" width="5.00390625" style="2" customWidth="1"/>
    <col min="3" max="3" width="55.75390625" style="2" customWidth="1"/>
    <col min="4" max="4" width="13.75390625" style="2" hidden="1" customWidth="1"/>
    <col min="5" max="5" width="14.375" style="0" hidden="1" customWidth="1"/>
    <col min="6" max="6" width="13.125" style="0" hidden="1" customWidth="1"/>
    <col min="7" max="7" width="14.00390625" style="0" hidden="1" customWidth="1"/>
    <col min="8" max="8" width="11.375" style="0" hidden="1" customWidth="1"/>
    <col min="9" max="9" width="14.125" style="0" hidden="1" customWidth="1"/>
    <col min="10" max="10" width="11.375" style="0" hidden="1" customWidth="1"/>
    <col min="11" max="11" width="13.75390625" style="0" hidden="1" customWidth="1"/>
    <col min="12" max="12" width="11.375" style="0" hidden="1" customWidth="1"/>
    <col min="13" max="13" width="14.00390625" style="0" hidden="1" customWidth="1"/>
    <col min="14" max="14" width="11.375" style="0" hidden="1" customWidth="1"/>
    <col min="15" max="15" width="14.625" style="0" hidden="1" customWidth="1"/>
    <col min="16" max="16" width="11.375" style="0" hidden="1" customWidth="1"/>
    <col min="17" max="17" width="13.875" style="0" hidden="1" customWidth="1"/>
    <col min="18" max="18" width="11.375" style="0" hidden="1" customWidth="1"/>
    <col min="19" max="19" width="13.875" style="0" hidden="1" customWidth="1"/>
    <col min="20" max="20" width="11.375" style="0" hidden="1" customWidth="1"/>
    <col min="21" max="21" width="14.00390625" style="0" hidden="1" customWidth="1"/>
    <col min="22" max="22" width="11.375" style="0" hidden="1" customWidth="1"/>
    <col min="23" max="23" width="14.125" style="0" hidden="1" customWidth="1"/>
    <col min="24" max="24" width="11.375" style="0" hidden="1" customWidth="1"/>
    <col min="25" max="25" width="14.25390625" style="0" hidden="1" customWidth="1"/>
    <col min="26" max="29" width="13.75390625" style="0" hidden="1" customWidth="1"/>
    <col min="30" max="43" width="13.625" style="0" hidden="1" customWidth="1"/>
    <col min="44" max="44" width="13.625" style="0" customWidth="1"/>
    <col min="45" max="48" width="11.375" style="0" customWidth="1"/>
    <col min="49" max="49" width="11.25390625" style="0" customWidth="1"/>
    <col min="50" max="50" width="10.25390625" style="0" bestFit="1" customWidth="1"/>
    <col min="51" max="51" width="10.125" style="0" bestFit="1" customWidth="1"/>
    <col min="52" max="52" width="9.75390625" style="0" bestFit="1" customWidth="1"/>
  </cols>
  <sheetData>
    <row r="1" spans="1:45" ht="30.75" customHeight="1">
      <c r="A1" s="288" t="s">
        <v>220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</row>
    <row r="2" spans="1:4" ht="12.75" customHeight="1">
      <c r="A2" s="143"/>
      <c r="B2" s="96"/>
      <c r="C2" s="96"/>
      <c r="D2" s="96"/>
    </row>
    <row r="3" spans="1:5" ht="12.75">
      <c r="A3" s="96"/>
      <c r="B3" s="96"/>
      <c r="C3" s="96"/>
      <c r="D3" s="97"/>
      <c r="E3" s="97"/>
    </row>
    <row r="4" spans="1:4" ht="12.75">
      <c r="A4" s="6" t="s">
        <v>206</v>
      </c>
      <c r="B4" s="7"/>
      <c r="C4" s="8"/>
      <c r="D4" s="8"/>
    </row>
    <row r="5" spans="1:4" ht="13.5" thickBot="1">
      <c r="A5" s="6"/>
      <c r="B5" s="7"/>
      <c r="C5" s="8"/>
      <c r="D5" s="8"/>
    </row>
    <row r="6" spans="1:45" ht="13.5" hidden="1" thickBot="1">
      <c r="A6" s="6"/>
      <c r="B6" s="7"/>
      <c r="C6" s="8"/>
      <c r="D6" s="8"/>
      <c r="F6" t="s">
        <v>141</v>
      </c>
      <c r="H6" t="s">
        <v>142</v>
      </c>
      <c r="J6" t="s">
        <v>156</v>
      </c>
      <c r="M6" t="s">
        <v>143</v>
      </c>
      <c r="O6" t="s">
        <v>148</v>
      </c>
      <c r="Q6" t="s">
        <v>147</v>
      </c>
      <c r="S6" t="s">
        <v>150</v>
      </c>
      <c r="U6" t="s">
        <v>166</v>
      </c>
      <c r="W6" t="s">
        <v>167</v>
      </c>
      <c r="Y6" t="s">
        <v>169</v>
      </c>
      <c r="AA6" t="s">
        <v>171</v>
      </c>
      <c r="AC6" t="s">
        <v>172</v>
      </c>
      <c r="AE6" t="s">
        <v>173</v>
      </c>
      <c r="AG6" t="s">
        <v>177</v>
      </c>
      <c r="AI6" t="s">
        <v>182</v>
      </c>
      <c r="AK6" t="s">
        <v>189</v>
      </c>
      <c r="AM6" t="s">
        <v>190</v>
      </c>
      <c r="AS6" t="s">
        <v>219</v>
      </c>
    </row>
    <row r="7" spans="1:48" ht="26.25" thickBot="1">
      <c r="A7" s="90" t="s">
        <v>0</v>
      </c>
      <c r="B7" s="91" t="s">
        <v>1</v>
      </c>
      <c r="C7" s="92" t="s">
        <v>2</v>
      </c>
      <c r="D7" s="93" t="s">
        <v>121</v>
      </c>
      <c r="E7" s="94" t="s">
        <v>140</v>
      </c>
      <c r="F7" s="98" t="s">
        <v>121</v>
      </c>
      <c r="G7" s="94" t="s">
        <v>140</v>
      </c>
      <c r="H7" s="98" t="s">
        <v>121</v>
      </c>
      <c r="I7" s="94" t="s">
        <v>140</v>
      </c>
      <c r="J7" s="98" t="s">
        <v>121</v>
      </c>
      <c r="K7" s="94" t="s">
        <v>140</v>
      </c>
      <c r="L7" s="111" t="s">
        <v>121</v>
      </c>
      <c r="M7" s="94" t="s">
        <v>140</v>
      </c>
      <c r="N7" s="111" t="s">
        <v>121</v>
      </c>
      <c r="O7" s="117" t="s">
        <v>140</v>
      </c>
      <c r="P7" s="123" t="s">
        <v>121</v>
      </c>
      <c r="Q7" s="94" t="s">
        <v>140</v>
      </c>
      <c r="R7" s="116" t="s">
        <v>121</v>
      </c>
      <c r="S7" s="94" t="s">
        <v>140</v>
      </c>
      <c r="T7" s="116" t="s">
        <v>121</v>
      </c>
      <c r="U7" s="94" t="s">
        <v>140</v>
      </c>
      <c r="V7" s="116" t="s">
        <v>121</v>
      </c>
      <c r="W7" s="94" t="s">
        <v>140</v>
      </c>
      <c r="X7" s="116" t="s">
        <v>121</v>
      </c>
      <c r="Y7" s="140" t="s">
        <v>140</v>
      </c>
      <c r="Z7" s="116" t="s">
        <v>121</v>
      </c>
      <c r="AA7" s="140" t="s">
        <v>140</v>
      </c>
      <c r="AB7" s="116" t="s">
        <v>121</v>
      </c>
      <c r="AC7" s="140" t="s">
        <v>140</v>
      </c>
      <c r="AD7" s="116" t="s">
        <v>121</v>
      </c>
      <c r="AE7" s="140" t="s">
        <v>140</v>
      </c>
      <c r="AF7" s="116" t="s">
        <v>121</v>
      </c>
      <c r="AG7" s="140" t="s">
        <v>140</v>
      </c>
      <c r="AH7" s="116" t="s">
        <v>121</v>
      </c>
      <c r="AI7" s="140" t="s">
        <v>140</v>
      </c>
      <c r="AJ7" s="116" t="s">
        <v>121</v>
      </c>
      <c r="AK7" s="140" t="s">
        <v>140</v>
      </c>
      <c r="AL7" s="116" t="s">
        <v>121</v>
      </c>
      <c r="AM7" s="94" t="s">
        <v>140</v>
      </c>
      <c r="AN7" s="98" t="s">
        <v>191</v>
      </c>
      <c r="AO7" s="166" t="s">
        <v>192</v>
      </c>
      <c r="AP7" s="167" t="s">
        <v>193</v>
      </c>
      <c r="AQ7" s="245" t="s">
        <v>194</v>
      </c>
      <c r="AR7" s="94" t="s">
        <v>140</v>
      </c>
      <c r="AS7" s="116" t="s">
        <v>194</v>
      </c>
      <c r="AT7" s="144"/>
      <c r="AU7" s="144"/>
      <c r="AV7" s="144"/>
    </row>
    <row r="8" spans="1:52" s="10" customFormat="1" ht="13.5" thickBot="1">
      <c r="A8" s="86">
        <v>1</v>
      </c>
      <c r="B8" s="87">
        <v>2</v>
      </c>
      <c r="C8" s="87">
        <v>3</v>
      </c>
      <c r="D8" s="88">
        <v>4</v>
      </c>
      <c r="E8" s="89">
        <v>4</v>
      </c>
      <c r="F8" s="99">
        <v>5</v>
      </c>
      <c r="G8" s="89">
        <v>4</v>
      </c>
      <c r="H8" s="99">
        <v>5</v>
      </c>
      <c r="I8" s="89">
        <v>4</v>
      </c>
      <c r="J8" s="99">
        <v>5</v>
      </c>
      <c r="K8" s="89">
        <v>4</v>
      </c>
      <c r="L8" s="112">
        <v>5</v>
      </c>
      <c r="M8" s="89">
        <v>4</v>
      </c>
      <c r="N8" s="114">
        <v>5</v>
      </c>
      <c r="O8" s="118"/>
      <c r="P8" s="124"/>
      <c r="Q8" s="115">
        <v>4</v>
      </c>
      <c r="R8" s="115">
        <v>5</v>
      </c>
      <c r="S8" s="115">
        <v>4</v>
      </c>
      <c r="T8" s="115">
        <v>5</v>
      </c>
      <c r="U8" s="115">
        <v>4</v>
      </c>
      <c r="V8" s="115">
        <v>5</v>
      </c>
      <c r="W8" s="115">
        <v>4</v>
      </c>
      <c r="X8" s="115">
        <v>5</v>
      </c>
      <c r="Y8" s="141">
        <v>4</v>
      </c>
      <c r="Z8" s="115">
        <v>5</v>
      </c>
      <c r="AA8" s="141">
        <v>4</v>
      </c>
      <c r="AB8" s="115">
        <v>5</v>
      </c>
      <c r="AC8" s="141">
        <v>4</v>
      </c>
      <c r="AD8" s="115">
        <v>5</v>
      </c>
      <c r="AE8" s="141">
        <v>4</v>
      </c>
      <c r="AF8" s="115">
        <v>5</v>
      </c>
      <c r="AG8" s="141">
        <v>4</v>
      </c>
      <c r="AH8" s="115">
        <v>5</v>
      </c>
      <c r="AI8" s="141">
        <v>4</v>
      </c>
      <c r="AJ8" s="115">
        <v>5</v>
      </c>
      <c r="AK8" s="141">
        <v>4</v>
      </c>
      <c r="AL8" s="115">
        <v>5</v>
      </c>
      <c r="AM8" s="115">
        <v>4</v>
      </c>
      <c r="AN8" s="115">
        <v>5</v>
      </c>
      <c r="AO8" s="115">
        <v>5</v>
      </c>
      <c r="AP8" s="141">
        <v>5</v>
      </c>
      <c r="AQ8" s="141">
        <v>5</v>
      </c>
      <c r="AR8" s="115">
        <v>4</v>
      </c>
      <c r="AS8" s="263">
        <v>5</v>
      </c>
      <c r="AT8" s="114"/>
      <c r="AU8" s="114"/>
      <c r="AV8" s="114"/>
      <c r="AW8" s="126"/>
      <c r="AX8" s="127"/>
      <c r="AY8" s="100"/>
      <c r="AZ8" s="100"/>
    </row>
    <row r="9" spans="1:52" ht="13.5" thickBot="1">
      <c r="A9" s="178"/>
      <c r="B9" s="179"/>
      <c r="C9" s="180" t="s">
        <v>3</v>
      </c>
      <c r="D9" s="181">
        <f aca="true" t="shared" si="0" ref="D9:N9">SUM(D10,D22,D26,D48,D59,D66,D117,D141,D149,D155,D158,D306,D325,D372,D393,D429,D449)</f>
        <v>29246124.808</v>
      </c>
      <c r="E9" s="182">
        <f t="shared" si="0"/>
        <v>0</v>
      </c>
      <c r="F9" s="183">
        <f t="shared" si="0"/>
        <v>29246124.808</v>
      </c>
      <c r="G9" s="182">
        <f t="shared" si="0"/>
        <v>-948834</v>
      </c>
      <c r="H9" s="183">
        <f t="shared" si="0"/>
        <v>28297290.808</v>
      </c>
      <c r="I9" s="182">
        <f t="shared" si="0"/>
        <v>0</v>
      </c>
      <c r="J9" s="183">
        <f t="shared" si="0"/>
        <v>28297290.808</v>
      </c>
      <c r="K9" s="182">
        <f t="shared" si="0"/>
        <v>0</v>
      </c>
      <c r="L9" s="184">
        <f t="shared" si="0"/>
        <v>28297290.808</v>
      </c>
      <c r="M9" s="182">
        <f t="shared" si="0"/>
        <v>-212969</v>
      </c>
      <c r="N9" s="136">
        <f t="shared" si="0"/>
        <v>28084321.808</v>
      </c>
      <c r="O9" s="185"/>
      <c r="P9" s="136">
        <f>SUM(P10,P22,P26,P48,P59,P66,P117,P141,P149,P155,P158,P306,P325,P372,P393,P429,P449)</f>
        <v>28084321.808</v>
      </c>
      <c r="Q9" s="134">
        <f>SUM(Q10,Q22,Q26,Q48,Q59,Q66,Q117,Q141,Q149,Q155,Q158,Q306,Q325,Q372,Q393,Q429,Q449)</f>
        <v>364000</v>
      </c>
      <c r="R9" s="134">
        <f>SUM(R10,R22,R26,R48,R59,R66,R117,R141,R149,R155,R158,R306,R325,R372,R393,R429,R449)</f>
        <v>28448321.808</v>
      </c>
      <c r="S9" s="134">
        <f>SUM(S10,S22,S26,S48,S59,S66,S117,S141,S149,S155,S158,S306,S325,S372,S393,S429,S449)</f>
        <v>4350</v>
      </c>
      <c r="T9" s="134">
        <f>SUM(T10,T22,T26,T48,T59,T66,T117,T141,T149,T155,T158,T306,T325,T372,T393,T429,T449)</f>
        <v>28452671.808</v>
      </c>
      <c r="U9" s="134">
        <f aca="true" t="shared" si="1" ref="U9:AQ9">SUM(U10,U22,U26,U45,U48,U59,U66,U117,U141,U149,U155,U158,U306,U325,U372,U393,U429,U449)</f>
        <v>896211</v>
      </c>
      <c r="V9" s="134">
        <f t="shared" si="1"/>
        <v>29348882.808</v>
      </c>
      <c r="W9" s="134">
        <f t="shared" si="1"/>
        <v>0</v>
      </c>
      <c r="X9" s="134">
        <f t="shared" si="1"/>
        <v>30248882.808</v>
      </c>
      <c r="Y9" s="137">
        <f t="shared" si="1"/>
        <v>0</v>
      </c>
      <c r="Z9" s="134">
        <f t="shared" si="1"/>
        <v>30248882.808</v>
      </c>
      <c r="AA9" s="137">
        <f t="shared" si="1"/>
        <v>26990</v>
      </c>
      <c r="AB9" s="134">
        <f t="shared" si="1"/>
        <v>30275872.808</v>
      </c>
      <c r="AC9" s="137">
        <f t="shared" si="1"/>
        <v>0</v>
      </c>
      <c r="AD9" s="134">
        <f t="shared" si="1"/>
        <v>30275872.808</v>
      </c>
      <c r="AE9" s="137">
        <f t="shared" si="1"/>
        <v>20519</v>
      </c>
      <c r="AF9" s="134">
        <f t="shared" si="1"/>
        <v>30296391.808</v>
      </c>
      <c r="AG9" s="186">
        <f t="shared" si="1"/>
        <v>-86700</v>
      </c>
      <c r="AH9" s="134">
        <f t="shared" si="1"/>
        <v>30209691.808</v>
      </c>
      <c r="AI9" s="137">
        <f t="shared" si="1"/>
        <v>0</v>
      </c>
      <c r="AJ9" s="134">
        <f t="shared" si="1"/>
        <v>30209691.808</v>
      </c>
      <c r="AK9" s="137">
        <f t="shared" si="1"/>
        <v>121062</v>
      </c>
      <c r="AL9" s="134">
        <f t="shared" si="1"/>
        <v>30330753.808</v>
      </c>
      <c r="AM9" s="134">
        <f t="shared" si="1"/>
        <v>59045</v>
      </c>
      <c r="AN9" s="134">
        <f t="shared" si="1"/>
        <v>30393028.808</v>
      </c>
      <c r="AO9" s="134">
        <f t="shared" si="1"/>
        <v>20338505</v>
      </c>
      <c r="AP9" s="137">
        <f t="shared" si="1"/>
        <v>18638914.59</v>
      </c>
      <c r="AQ9" s="137">
        <f t="shared" si="1"/>
        <v>31750849</v>
      </c>
      <c r="AR9" s="95">
        <f>SUM(AR10,AR22,AR27,AR45,AR48,AR59,AR66,AR117,AR143,AR150,AR156,AR159,AR305,AR323,AR366,AR386,AR421,AR443)</f>
        <v>0</v>
      </c>
      <c r="AS9" s="264">
        <v>31750849</v>
      </c>
      <c r="AT9" s="103"/>
      <c r="AU9" s="103"/>
      <c r="AV9" s="103"/>
      <c r="AW9" s="126"/>
      <c r="AX9" s="127"/>
      <c r="AY9" s="100"/>
      <c r="AZ9" s="100"/>
    </row>
    <row r="10" spans="1:52" ht="13.5" hidden="1" thickBot="1">
      <c r="A10" s="214" t="s">
        <v>4</v>
      </c>
      <c r="B10" s="215"/>
      <c r="C10" s="216" t="s">
        <v>5</v>
      </c>
      <c r="D10" s="217">
        <f>SUM(D11,D16,D18)</f>
        <v>3029076</v>
      </c>
      <c r="E10" s="217">
        <f aca="true" t="shared" si="2" ref="E10:AQ10">SUM(E11,E16,E18)</f>
        <v>0</v>
      </c>
      <c r="F10" s="217">
        <f t="shared" si="2"/>
        <v>3029076</v>
      </c>
      <c r="G10" s="217">
        <f t="shared" si="2"/>
        <v>0</v>
      </c>
      <c r="H10" s="217">
        <f t="shared" si="2"/>
        <v>3029076</v>
      </c>
      <c r="I10" s="217">
        <f t="shared" si="2"/>
        <v>0</v>
      </c>
      <c r="J10" s="217">
        <f t="shared" si="2"/>
        <v>3029076</v>
      </c>
      <c r="K10" s="217">
        <f t="shared" si="2"/>
        <v>0</v>
      </c>
      <c r="L10" s="217">
        <f t="shared" si="2"/>
        <v>3029076</v>
      </c>
      <c r="M10" s="217">
        <f t="shared" si="2"/>
        <v>0</v>
      </c>
      <c r="N10" s="217">
        <f t="shared" si="2"/>
        <v>3029076</v>
      </c>
      <c r="O10" s="217">
        <f t="shared" si="2"/>
        <v>0</v>
      </c>
      <c r="P10" s="217">
        <f t="shared" si="2"/>
        <v>3029076</v>
      </c>
      <c r="Q10" s="217">
        <f t="shared" si="2"/>
        <v>120000</v>
      </c>
      <c r="R10" s="217">
        <f t="shared" si="2"/>
        <v>3149076</v>
      </c>
      <c r="S10" s="217">
        <f t="shared" si="2"/>
        <v>0</v>
      </c>
      <c r="T10" s="217">
        <f t="shared" si="2"/>
        <v>3149076</v>
      </c>
      <c r="U10" s="217">
        <f t="shared" si="2"/>
        <v>-5000</v>
      </c>
      <c r="V10" s="217">
        <f t="shared" si="2"/>
        <v>3144076</v>
      </c>
      <c r="W10" s="217">
        <f t="shared" si="2"/>
        <v>0</v>
      </c>
      <c r="X10" s="217">
        <f t="shared" si="2"/>
        <v>3144076</v>
      </c>
      <c r="Y10" s="217">
        <f t="shared" si="2"/>
        <v>0</v>
      </c>
      <c r="Z10" s="217">
        <f t="shared" si="2"/>
        <v>3144076</v>
      </c>
      <c r="AA10" s="217">
        <f t="shared" si="2"/>
        <v>0</v>
      </c>
      <c r="AB10" s="217">
        <f t="shared" si="2"/>
        <v>3144076</v>
      </c>
      <c r="AC10" s="217">
        <f t="shared" si="2"/>
        <v>0</v>
      </c>
      <c r="AD10" s="217">
        <f t="shared" si="2"/>
        <v>3144076</v>
      </c>
      <c r="AE10" s="217">
        <f t="shared" si="2"/>
        <v>0</v>
      </c>
      <c r="AF10" s="217">
        <f t="shared" si="2"/>
        <v>3144076</v>
      </c>
      <c r="AG10" s="217">
        <f t="shared" si="2"/>
        <v>-34140</v>
      </c>
      <c r="AH10" s="217">
        <f t="shared" si="2"/>
        <v>3109936</v>
      </c>
      <c r="AI10" s="217">
        <f t="shared" si="2"/>
        <v>0</v>
      </c>
      <c r="AJ10" s="217">
        <f t="shared" si="2"/>
        <v>3109936</v>
      </c>
      <c r="AK10" s="217">
        <f t="shared" si="2"/>
        <v>100</v>
      </c>
      <c r="AL10" s="217">
        <f t="shared" si="2"/>
        <v>3110036</v>
      </c>
      <c r="AM10" s="217">
        <f t="shared" si="2"/>
        <v>0</v>
      </c>
      <c r="AN10" s="217">
        <f t="shared" si="2"/>
        <v>3110036</v>
      </c>
      <c r="AO10" s="217">
        <f t="shared" si="2"/>
        <v>149880</v>
      </c>
      <c r="AP10" s="219">
        <f t="shared" si="2"/>
        <v>468604</v>
      </c>
      <c r="AQ10" s="246">
        <f t="shared" si="2"/>
        <v>7213534</v>
      </c>
      <c r="AR10" s="238">
        <f>AR11+AR16+AR18</f>
        <v>0</v>
      </c>
      <c r="AS10" s="265">
        <f>AQ10+AR10</f>
        <v>7213534</v>
      </c>
      <c r="AT10" s="103"/>
      <c r="AU10" s="103"/>
      <c r="AV10" s="103"/>
      <c r="AW10" s="126">
        <v>17850</v>
      </c>
      <c r="AX10" s="127" t="s">
        <v>163</v>
      </c>
      <c r="AY10" s="100">
        <v>230000</v>
      </c>
      <c r="AZ10" s="100"/>
    </row>
    <row r="11" spans="1:52" ht="12.75" hidden="1">
      <c r="A11" s="49" t="s">
        <v>6</v>
      </c>
      <c r="B11" s="26"/>
      <c r="C11" s="19" t="s">
        <v>7</v>
      </c>
      <c r="D11" s="190">
        <f aca="true" t="shared" si="3" ref="D11:J11">SUM(D12:D15)</f>
        <v>3005000</v>
      </c>
      <c r="E11" s="190">
        <f t="shared" si="3"/>
        <v>0</v>
      </c>
      <c r="F11" s="190">
        <f t="shared" si="3"/>
        <v>3005000</v>
      </c>
      <c r="G11" s="190">
        <f t="shared" si="3"/>
        <v>0</v>
      </c>
      <c r="H11" s="190">
        <f t="shared" si="3"/>
        <v>3005000</v>
      </c>
      <c r="I11" s="190">
        <f t="shared" si="3"/>
        <v>0</v>
      </c>
      <c r="J11" s="190">
        <f t="shared" si="3"/>
        <v>3005000</v>
      </c>
      <c r="K11" s="110"/>
      <c r="L11" s="190">
        <f>SUM(L12:L15)</f>
        <v>3005000</v>
      </c>
      <c r="M11" s="110"/>
      <c r="N11" s="190">
        <f>SUM(N12:N15)</f>
        <v>3005000</v>
      </c>
      <c r="O11" s="190"/>
      <c r="P11" s="190">
        <f aca="true" t="shared" si="4" ref="P11:V11">SUM(P12:P15)</f>
        <v>3005000</v>
      </c>
      <c r="Q11" s="190">
        <f t="shared" si="4"/>
        <v>120000</v>
      </c>
      <c r="R11" s="190">
        <f t="shared" si="4"/>
        <v>3125000</v>
      </c>
      <c r="S11" s="190">
        <f t="shared" si="4"/>
        <v>0</v>
      </c>
      <c r="T11" s="190">
        <f t="shared" si="4"/>
        <v>3125000</v>
      </c>
      <c r="U11" s="190">
        <f t="shared" si="4"/>
        <v>0</v>
      </c>
      <c r="V11" s="190">
        <f t="shared" si="4"/>
        <v>3125000</v>
      </c>
      <c r="W11" s="190">
        <f aca="true" t="shared" si="5" ref="W11:AB11">SUM(W12:W15)</f>
        <v>0</v>
      </c>
      <c r="X11" s="190">
        <f t="shared" si="5"/>
        <v>3125000</v>
      </c>
      <c r="Y11" s="190">
        <f t="shared" si="5"/>
        <v>0</v>
      </c>
      <c r="Z11" s="190">
        <f t="shared" si="5"/>
        <v>3125000</v>
      </c>
      <c r="AA11" s="190">
        <f t="shared" si="5"/>
        <v>0</v>
      </c>
      <c r="AB11" s="190">
        <f t="shared" si="5"/>
        <v>3125000</v>
      </c>
      <c r="AC11" s="190">
        <f aca="true" t="shared" si="6" ref="AC11:AH11">SUM(AC12:AC15)</f>
        <v>0</v>
      </c>
      <c r="AD11" s="190">
        <f t="shared" si="6"/>
        <v>3125000</v>
      </c>
      <c r="AE11" s="190">
        <f t="shared" si="6"/>
        <v>0</v>
      </c>
      <c r="AF11" s="190">
        <f t="shared" si="6"/>
        <v>3125000</v>
      </c>
      <c r="AG11" s="191">
        <f t="shared" si="6"/>
        <v>-34140</v>
      </c>
      <c r="AH11" s="190">
        <f t="shared" si="6"/>
        <v>3090860</v>
      </c>
      <c r="AI11" s="190">
        <f aca="true" t="shared" si="7" ref="AI11:AN11">SUM(AI12:AI15)</f>
        <v>0</v>
      </c>
      <c r="AJ11" s="190">
        <f t="shared" si="7"/>
        <v>3090860</v>
      </c>
      <c r="AK11" s="190">
        <f t="shared" si="7"/>
        <v>7600</v>
      </c>
      <c r="AL11" s="190">
        <f t="shared" si="7"/>
        <v>3098460</v>
      </c>
      <c r="AM11" s="190">
        <f t="shared" si="7"/>
        <v>0</v>
      </c>
      <c r="AN11" s="190">
        <f t="shared" si="7"/>
        <v>3098460</v>
      </c>
      <c r="AO11" s="190">
        <f>SUM(AO12:AO15)</f>
        <v>126841</v>
      </c>
      <c r="AP11" s="81">
        <f>SUM(AP12:AP15)</f>
        <v>463657</v>
      </c>
      <c r="AQ11" s="247">
        <f>SUM(AQ12:AQ15)</f>
        <v>7202658</v>
      </c>
      <c r="AR11" s="239">
        <f>SUM(AR12:AR15)</f>
        <v>0</v>
      </c>
      <c r="AS11" s="266">
        <f>SUM(AS12:AS15)</f>
        <v>7202658</v>
      </c>
      <c r="AT11" s="103"/>
      <c r="AU11" s="103"/>
      <c r="AV11" s="103"/>
      <c r="AW11" s="126"/>
      <c r="AX11" s="127"/>
      <c r="AY11" s="100">
        <v>364000</v>
      </c>
      <c r="AZ11" s="100"/>
    </row>
    <row r="12" spans="1:52" ht="12.75" hidden="1">
      <c r="A12" s="49"/>
      <c r="B12" s="27">
        <v>4300</v>
      </c>
      <c r="C12" s="18" t="s">
        <v>15</v>
      </c>
      <c r="D12" s="104">
        <v>5000</v>
      </c>
      <c r="E12" s="106"/>
      <c r="F12" s="106">
        <f>D12+E12</f>
        <v>5000</v>
      </c>
      <c r="G12" s="109"/>
      <c r="H12" s="106">
        <f>G12+F12</f>
        <v>5000</v>
      </c>
      <c r="I12" s="109"/>
      <c r="J12" s="106">
        <f>I12+H12</f>
        <v>5000</v>
      </c>
      <c r="K12" s="110"/>
      <c r="L12" s="106">
        <f>K12+H12</f>
        <v>5000</v>
      </c>
      <c r="M12" s="110"/>
      <c r="N12" s="106">
        <f>M12+L12</f>
        <v>5000</v>
      </c>
      <c r="O12" s="106"/>
      <c r="P12" s="106">
        <f>O12+N12</f>
        <v>5000</v>
      </c>
      <c r="Q12" s="110"/>
      <c r="R12" s="106">
        <f>Q12+P12</f>
        <v>5000</v>
      </c>
      <c r="S12" s="110"/>
      <c r="T12" s="106">
        <f>S12+R12</f>
        <v>5000</v>
      </c>
      <c r="U12" s="110"/>
      <c r="V12" s="106">
        <f>U12+T12</f>
        <v>5000</v>
      </c>
      <c r="W12" s="110"/>
      <c r="X12" s="106">
        <f>W12+V12</f>
        <v>5000</v>
      </c>
      <c r="Y12" s="110"/>
      <c r="Z12" s="106">
        <f>Y12+X12</f>
        <v>5000</v>
      </c>
      <c r="AA12" s="110"/>
      <c r="AB12" s="106">
        <f>AA12+Z12</f>
        <v>5000</v>
      </c>
      <c r="AC12" s="110"/>
      <c r="AD12" s="106">
        <f>AC12+AB12</f>
        <v>5000</v>
      </c>
      <c r="AE12" s="110"/>
      <c r="AF12" s="106">
        <f>AE12+AD12</f>
        <v>5000</v>
      </c>
      <c r="AG12" s="147"/>
      <c r="AH12" s="106">
        <f>AG12+AF12</f>
        <v>5000</v>
      </c>
      <c r="AI12" s="109"/>
      <c r="AJ12" s="106">
        <f>AI12+AH12</f>
        <v>5000</v>
      </c>
      <c r="AK12" s="109"/>
      <c r="AL12" s="106">
        <f>AK12+AJ12</f>
        <v>5000</v>
      </c>
      <c r="AM12" s="109"/>
      <c r="AN12" s="106">
        <f>AM12+AL12</f>
        <v>5000</v>
      </c>
      <c r="AO12" s="106">
        <v>23574</v>
      </c>
      <c r="AP12" s="113">
        <v>30</v>
      </c>
      <c r="AQ12" s="243">
        <v>3000</v>
      </c>
      <c r="AR12" s="240"/>
      <c r="AS12" s="267">
        <f>AR12+AQ12</f>
        <v>3000</v>
      </c>
      <c r="AT12" s="103"/>
      <c r="AU12" s="103"/>
      <c r="AV12" s="103"/>
      <c r="AW12" s="126"/>
      <c r="AX12" s="127"/>
      <c r="AY12" s="100"/>
      <c r="AZ12" s="100"/>
    </row>
    <row r="13" spans="1:52" ht="12.75" hidden="1">
      <c r="A13" s="49"/>
      <c r="B13" s="27">
        <v>6058</v>
      </c>
      <c r="C13" s="18" t="s">
        <v>26</v>
      </c>
      <c r="D13" s="104">
        <v>2000000</v>
      </c>
      <c r="E13" s="106"/>
      <c r="F13" s="106">
        <f>D13+E13</f>
        <v>2000000</v>
      </c>
      <c r="G13" s="109"/>
      <c r="H13" s="106">
        <f>G13+F13</f>
        <v>2000000</v>
      </c>
      <c r="I13" s="109"/>
      <c r="J13" s="106">
        <f>I13+H13</f>
        <v>2000000</v>
      </c>
      <c r="K13" s="110"/>
      <c r="L13" s="106">
        <f>K13+H13</f>
        <v>2000000</v>
      </c>
      <c r="M13" s="110"/>
      <c r="N13" s="106">
        <f>M13+L13</f>
        <v>2000000</v>
      </c>
      <c r="O13" s="106"/>
      <c r="P13" s="106">
        <f>O13+N13</f>
        <v>2000000</v>
      </c>
      <c r="Q13" s="110"/>
      <c r="R13" s="106">
        <f>Q13+P13</f>
        <v>2000000</v>
      </c>
      <c r="S13" s="110"/>
      <c r="T13" s="106">
        <f>S13+R13</f>
        <v>2000000</v>
      </c>
      <c r="U13" s="110"/>
      <c r="V13" s="106">
        <f>U13+T13</f>
        <v>2000000</v>
      </c>
      <c r="W13" s="110"/>
      <c r="X13" s="106">
        <f>W13+V13</f>
        <v>2000000</v>
      </c>
      <c r="Y13" s="110"/>
      <c r="Z13" s="106">
        <f>Y13+X13</f>
        <v>2000000</v>
      </c>
      <c r="AA13" s="110"/>
      <c r="AB13" s="106">
        <f>AA13+Z13</f>
        <v>2000000</v>
      </c>
      <c r="AC13" s="110"/>
      <c r="AD13" s="106">
        <f>AC13+AB13</f>
        <v>2000000</v>
      </c>
      <c r="AE13" s="110"/>
      <c r="AF13" s="106">
        <f>AE13+AD13</f>
        <v>2000000</v>
      </c>
      <c r="AG13" s="147"/>
      <c r="AH13" s="106">
        <f>AG13+AF13</f>
        <v>2000000</v>
      </c>
      <c r="AI13" s="109"/>
      <c r="AJ13" s="106">
        <f>AI13+AH13</f>
        <v>2000000</v>
      </c>
      <c r="AK13" s="109"/>
      <c r="AL13" s="106">
        <f>AK13+AJ13</f>
        <v>2000000</v>
      </c>
      <c r="AM13" s="109"/>
      <c r="AN13" s="106">
        <f>AM13+AL13</f>
        <v>2000000</v>
      </c>
      <c r="AO13" s="106">
        <v>0</v>
      </c>
      <c r="AP13" s="113">
        <v>0</v>
      </c>
      <c r="AQ13" s="243">
        <f>3509900+500000</f>
        <v>4009900</v>
      </c>
      <c r="AR13" s="240"/>
      <c r="AS13" s="267">
        <f>AR13+AQ13</f>
        <v>4009900</v>
      </c>
      <c r="AT13" s="103"/>
      <c r="AU13" s="103"/>
      <c r="AV13" s="103"/>
      <c r="AW13" s="126"/>
      <c r="AX13" s="127"/>
      <c r="AY13" s="100"/>
      <c r="AZ13" s="100"/>
    </row>
    <row r="14" spans="1:52" ht="12.75" hidden="1">
      <c r="A14" s="49"/>
      <c r="B14" s="27">
        <v>6059</v>
      </c>
      <c r="C14" s="18" t="s">
        <v>26</v>
      </c>
      <c r="D14" s="104">
        <v>500000</v>
      </c>
      <c r="E14" s="106"/>
      <c r="F14" s="106">
        <f>D14+E14</f>
        <v>500000</v>
      </c>
      <c r="G14" s="109"/>
      <c r="H14" s="106">
        <f>G14+F14</f>
        <v>500000</v>
      </c>
      <c r="I14" s="109"/>
      <c r="J14" s="106">
        <f>I14+H14</f>
        <v>500000</v>
      </c>
      <c r="K14" s="110"/>
      <c r="L14" s="106">
        <f>K14+H14</f>
        <v>500000</v>
      </c>
      <c r="M14" s="110"/>
      <c r="N14" s="106">
        <f>M14+L14</f>
        <v>500000</v>
      </c>
      <c r="O14" s="106"/>
      <c r="P14" s="106">
        <f>O14+N14</f>
        <v>500000</v>
      </c>
      <c r="Q14" s="109">
        <v>120000</v>
      </c>
      <c r="R14" s="106">
        <f>Q14+P14</f>
        <v>620000</v>
      </c>
      <c r="S14" s="110"/>
      <c r="T14" s="106">
        <f>S14+R14</f>
        <v>620000</v>
      </c>
      <c r="U14" s="110"/>
      <c r="V14" s="106">
        <f>U14+T14</f>
        <v>620000</v>
      </c>
      <c r="W14" s="110"/>
      <c r="X14" s="106">
        <f>W14+V14</f>
        <v>620000</v>
      </c>
      <c r="Y14" s="110"/>
      <c r="Z14" s="106">
        <f>Y14+X14</f>
        <v>620000</v>
      </c>
      <c r="AA14" s="110"/>
      <c r="AB14" s="106">
        <f>AA14+Z14</f>
        <v>620000</v>
      </c>
      <c r="AC14" s="110"/>
      <c r="AD14" s="106">
        <f>AC14+AB14</f>
        <v>620000</v>
      </c>
      <c r="AE14" s="110"/>
      <c r="AF14" s="106">
        <f>AE14+AD14</f>
        <v>620000</v>
      </c>
      <c r="AG14" s="147">
        <v>-34140</v>
      </c>
      <c r="AH14" s="106">
        <f>AG14+AF14</f>
        <v>585860</v>
      </c>
      <c r="AI14" s="109"/>
      <c r="AJ14" s="106">
        <f>AI14+AH14</f>
        <v>585860</v>
      </c>
      <c r="AK14" s="109">
        <f>6100+1500</f>
        <v>7600</v>
      </c>
      <c r="AL14" s="106">
        <f>AK14+AJ14</f>
        <v>593460</v>
      </c>
      <c r="AM14" s="109"/>
      <c r="AN14" s="106">
        <f>AM14+AL14</f>
        <v>593460</v>
      </c>
      <c r="AO14" s="106">
        <v>69100</v>
      </c>
      <c r="AP14" s="113">
        <v>132776</v>
      </c>
      <c r="AQ14" s="243">
        <f>2990100+150000</f>
        <v>3140100</v>
      </c>
      <c r="AR14" s="241"/>
      <c r="AS14" s="268">
        <f>AR14+AQ14</f>
        <v>3140100</v>
      </c>
      <c r="AT14" s="103"/>
      <c r="AU14" s="103"/>
      <c r="AV14" s="103"/>
      <c r="AW14" s="126"/>
      <c r="AX14" s="127"/>
      <c r="AY14" s="100"/>
      <c r="AZ14" s="100"/>
    </row>
    <row r="15" spans="1:52" ht="33.75" hidden="1">
      <c r="A15" s="50"/>
      <c r="B15" s="27">
        <v>6659</v>
      </c>
      <c r="C15" s="44" t="s">
        <v>8</v>
      </c>
      <c r="D15" s="104">
        <v>500000</v>
      </c>
      <c r="E15" s="106"/>
      <c r="F15" s="106">
        <f>D15+E15</f>
        <v>500000</v>
      </c>
      <c r="G15" s="109"/>
      <c r="H15" s="106">
        <f>G15+F15</f>
        <v>500000</v>
      </c>
      <c r="I15" s="109"/>
      <c r="J15" s="106">
        <f>I15+H15</f>
        <v>500000</v>
      </c>
      <c r="K15" s="110"/>
      <c r="L15" s="106">
        <f>K15+H15</f>
        <v>500000</v>
      </c>
      <c r="M15" s="110"/>
      <c r="N15" s="106">
        <f>M15+L15</f>
        <v>500000</v>
      </c>
      <c r="O15" s="106"/>
      <c r="P15" s="106">
        <f>O15+N15</f>
        <v>500000</v>
      </c>
      <c r="Q15" s="110"/>
      <c r="R15" s="106">
        <f>Q15+P15</f>
        <v>500000</v>
      </c>
      <c r="S15" s="110"/>
      <c r="T15" s="106">
        <f>S15+R15</f>
        <v>500000</v>
      </c>
      <c r="U15" s="110"/>
      <c r="V15" s="106">
        <f>U15+T15</f>
        <v>500000</v>
      </c>
      <c r="W15" s="110"/>
      <c r="X15" s="106">
        <f>W15+V15</f>
        <v>500000</v>
      </c>
      <c r="Y15" s="110"/>
      <c r="Z15" s="106">
        <f>Y15+X15</f>
        <v>500000</v>
      </c>
      <c r="AA15" s="110"/>
      <c r="AB15" s="106">
        <f>AA15+Z15</f>
        <v>500000</v>
      </c>
      <c r="AC15" s="110"/>
      <c r="AD15" s="106">
        <f>AC15+AB15</f>
        <v>500000</v>
      </c>
      <c r="AE15" s="110"/>
      <c r="AF15" s="106">
        <f>AE15+AD15</f>
        <v>500000</v>
      </c>
      <c r="AG15" s="147"/>
      <c r="AH15" s="106">
        <f>AG15+AF15</f>
        <v>500000</v>
      </c>
      <c r="AI15" s="109"/>
      <c r="AJ15" s="106">
        <f>AI15+AH15</f>
        <v>500000</v>
      </c>
      <c r="AK15" s="109"/>
      <c r="AL15" s="106">
        <f>AK15+AJ15</f>
        <v>500000</v>
      </c>
      <c r="AM15" s="109"/>
      <c r="AN15" s="106">
        <f>AM15+AL15</f>
        <v>500000</v>
      </c>
      <c r="AO15" s="106">
        <v>34167</v>
      </c>
      <c r="AP15" s="113">
        <f>35123+295728</f>
        <v>330851</v>
      </c>
      <c r="AQ15" s="243">
        <f>4187+45471</f>
        <v>49658</v>
      </c>
      <c r="AR15" s="240"/>
      <c r="AS15" s="267">
        <f>AR15+AQ15</f>
        <v>49658</v>
      </c>
      <c r="AT15" s="103"/>
      <c r="AU15" s="103"/>
      <c r="AV15" s="103"/>
      <c r="AW15" s="126"/>
      <c r="AX15" s="127"/>
      <c r="AY15" s="100"/>
      <c r="AZ15" s="100"/>
    </row>
    <row r="16" spans="1:52" ht="12.75" hidden="1">
      <c r="A16" s="49" t="s">
        <v>9</v>
      </c>
      <c r="B16" s="26"/>
      <c r="C16" s="19" t="s">
        <v>10</v>
      </c>
      <c r="D16" s="190">
        <f>SUM(D17)</f>
        <v>6076</v>
      </c>
      <c r="E16" s="190">
        <f>SUM(E17)</f>
        <v>0</v>
      </c>
      <c r="F16" s="190">
        <f>SUM(F17)</f>
        <v>6076</v>
      </c>
      <c r="G16" s="109"/>
      <c r="H16" s="190">
        <f>SUM(H17)</f>
        <v>6076</v>
      </c>
      <c r="I16" s="109"/>
      <c r="J16" s="190">
        <f>SUM(J17)</f>
        <v>6076</v>
      </c>
      <c r="K16" s="110"/>
      <c r="L16" s="190">
        <f>SUM(L17)</f>
        <v>6076</v>
      </c>
      <c r="M16" s="110"/>
      <c r="N16" s="190">
        <f>SUM(N17)</f>
        <v>6076</v>
      </c>
      <c r="O16" s="190"/>
      <c r="P16" s="190">
        <f aca="true" t="shared" si="8" ref="P16:AS16">SUM(P17)</f>
        <v>6076</v>
      </c>
      <c r="Q16" s="190">
        <f t="shared" si="8"/>
        <v>0</v>
      </c>
      <c r="R16" s="190">
        <f t="shared" si="8"/>
        <v>6076</v>
      </c>
      <c r="S16" s="190">
        <f t="shared" si="8"/>
        <v>0</v>
      </c>
      <c r="T16" s="190">
        <f t="shared" si="8"/>
        <v>6076</v>
      </c>
      <c r="U16" s="190">
        <f t="shared" si="8"/>
        <v>0</v>
      </c>
      <c r="V16" s="190">
        <f t="shared" si="8"/>
        <v>6076</v>
      </c>
      <c r="W16" s="190">
        <f t="shared" si="8"/>
        <v>0</v>
      </c>
      <c r="X16" s="190">
        <f t="shared" si="8"/>
        <v>6076</v>
      </c>
      <c r="Y16" s="190">
        <f t="shared" si="8"/>
        <v>0</v>
      </c>
      <c r="Z16" s="190">
        <f t="shared" si="8"/>
        <v>6076</v>
      </c>
      <c r="AA16" s="190">
        <f t="shared" si="8"/>
        <v>0</v>
      </c>
      <c r="AB16" s="190">
        <f t="shared" si="8"/>
        <v>6076</v>
      </c>
      <c r="AC16" s="190">
        <f t="shared" si="8"/>
        <v>0</v>
      </c>
      <c r="AD16" s="190">
        <f t="shared" si="8"/>
        <v>6076</v>
      </c>
      <c r="AE16" s="190">
        <f t="shared" si="8"/>
        <v>0</v>
      </c>
      <c r="AF16" s="190">
        <f t="shared" si="8"/>
        <v>6076</v>
      </c>
      <c r="AG16" s="191">
        <f t="shared" si="8"/>
        <v>0</v>
      </c>
      <c r="AH16" s="190">
        <f t="shared" si="8"/>
        <v>6076</v>
      </c>
      <c r="AI16" s="190">
        <f t="shared" si="8"/>
        <v>0</v>
      </c>
      <c r="AJ16" s="190">
        <f t="shared" si="8"/>
        <v>6076</v>
      </c>
      <c r="AK16" s="190">
        <f t="shared" si="8"/>
        <v>0</v>
      </c>
      <c r="AL16" s="190">
        <f t="shared" si="8"/>
        <v>6076</v>
      </c>
      <c r="AM16" s="190">
        <f t="shared" si="8"/>
        <v>0</v>
      </c>
      <c r="AN16" s="190">
        <f t="shared" si="8"/>
        <v>6076</v>
      </c>
      <c r="AO16" s="190">
        <f t="shared" si="8"/>
        <v>6123</v>
      </c>
      <c r="AP16" s="81">
        <f t="shared" si="8"/>
        <v>4947</v>
      </c>
      <c r="AQ16" s="247">
        <f t="shared" si="8"/>
        <v>5376</v>
      </c>
      <c r="AR16" s="82">
        <f t="shared" si="8"/>
        <v>0</v>
      </c>
      <c r="AS16" s="269">
        <f t="shared" si="8"/>
        <v>5376</v>
      </c>
      <c r="AT16" s="103"/>
      <c r="AU16" s="103"/>
      <c r="AV16" s="103"/>
      <c r="AW16" s="126"/>
      <c r="AX16" s="127"/>
      <c r="AY16" s="100"/>
      <c r="AZ16" s="100"/>
    </row>
    <row r="17" spans="1:52" ht="25.5" hidden="1">
      <c r="A17" s="50"/>
      <c r="B17" s="27">
        <v>2850</v>
      </c>
      <c r="C17" s="18" t="s">
        <v>11</v>
      </c>
      <c r="D17" s="104">
        <v>6076</v>
      </c>
      <c r="E17" s="106"/>
      <c r="F17" s="106">
        <f>D17+E17</f>
        <v>6076</v>
      </c>
      <c r="G17" s="109"/>
      <c r="H17" s="106">
        <f>G17+F17</f>
        <v>6076</v>
      </c>
      <c r="I17" s="109"/>
      <c r="J17" s="106">
        <f>I17+H17</f>
        <v>6076</v>
      </c>
      <c r="K17" s="110"/>
      <c r="L17" s="106">
        <f>K17+H17</f>
        <v>6076</v>
      </c>
      <c r="M17" s="110"/>
      <c r="N17" s="106">
        <f>M17+L17</f>
        <v>6076</v>
      </c>
      <c r="O17" s="106"/>
      <c r="P17" s="106">
        <f>O17+N17</f>
        <v>6076</v>
      </c>
      <c r="Q17" s="110"/>
      <c r="R17" s="106">
        <f>Q17+P17</f>
        <v>6076</v>
      </c>
      <c r="S17" s="110"/>
      <c r="T17" s="106">
        <f>S17+R17</f>
        <v>6076</v>
      </c>
      <c r="U17" s="110"/>
      <c r="V17" s="106">
        <f>U17+T17</f>
        <v>6076</v>
      </c>
      <c r="W17" s="110"/>
      <c r="X17" s="106">
        <f>W17+V17</f>
        <v>6076</v>
      </c>
      <c r="Y17" s="110"/>
      <c r="Z17" s="106">
        <f>Y17+X17</f>
        <v>6076</v>
      </c>
      <c r="AA17" s="110"/>
      <c r="AB17" s="106">
        <f>AA17+Z17</f>
        <v>6076</v>
      </c>
      <c r="AC17" s="110"/>
      <c r="AD17" s="106">
        <f>AC17+AB17</f>
        <v>6076</v>
      </c>
      <c r="AE17" s="110"/>
      <c r="AF17" s="106">
        <f>AE17+AD17</f>
        <v>6076</v>
      </c>
      <c r="AG17" s="147"/>
      <c r="AH17" s="106">
        <f>AG17+AF17</f>
        <v>6076</v>
      </c>
      <c r="AI17" s="109"/>
      <c r="AJ17" s="106">
        <f>AI17+AH17</f>
        <v>6076</v>
      </c>
      <c r="AK17" s="109"/>
      <c r="AL17" s="106">
        <f>AK17+AJ17</f>
        <v>6076</v>
      </c>
      <c r="AM17" s="109"/>
      <c r="AN17" s="192">
        <f>AM17+AL17</f>
        <v>6076</v>
      </c>
      <c r="AO17" s="192">
        <v>6123</v>
      </c>
      <c r="AP17" s="220">
        <f>3826+1121</f>
        <v>4947</v>
      </c>
      <c r="AQ17" s="248">
        <v>5376</v>
      </c>
      <c r="AR17" s="240"/>
      <c r="AS17" s="267">
        <f>AR17+AQ17</f>
        <v>5376</v>
      </c>
      <c r="AT17" s="170">
        <f>(260000+8800)*2%</f>
        <v>5376</v>
      </c>
      <c r="AU17" s="103"/>
      <c r="AV17" s="103"/>
      <c r="AW17" s="153" t="s">
        <v>196</v>
      </c>
      <c r="AX17" s="127"/>
      <c r="AY17" s="100"/>
      <c r="AZ17" s="100"/>
    </row>
    <row r="18" spans="1:52" ht="12.75" hidden="1">
      <c r="A18" s="49" t="s">
        <v>12</v>
      </c>
      <c r="B18" s="26"/>
      <c r="C18" s="19" t="s">
        <v>13</v>
      </c>
      <c r="D18" s="190">
        <f>SUM(D19:D21)</f>
        <v>18000</v>
      </c>
      <c r="E18" s="190">
        <f>SUM(E19:E21)</f>
        <v>0</v>
      </c>
      <c r="F18" s="190">
        <f>SUM(F19:F21)</f>
        <v>18000</v>
      </c>
      <c r="G18" s="109"/>
      <c r="H18" s="190">
        <f>SUM(H19:H21)</f>
        <v>18000</v>
      </c>
      <c r="I18" s="109"/>
      <c r="J18" s="190">
        <f>SUM(J19:J21)</f>
        <v>18000</v>
      </c>
      <c r="K18" s="110"/>
      <c r="L18" s="190">
        <f>SUM(L19:L21)</f>
        <v>18000</v>
      </c>
      <c r="M18" s="110"/>
      <c r="N18" s="190">
        <f>SUM(N19:N21)</f>
        <v>18000</v>
      </c>
      <c r="O18" s="190"/>
      <c r="P18" s="190">
        <f aca="true" t="shared" si="9" ref="P18:V18">SUM(P19:P21)</f>
        <v>18000</v>
      </c>
      <c r="Q18" s="190">
        <f t="shared" si="9"/>
        <v>0</v>
      </c>
      <c r="R18" s="190">
        <f t="shared" si="9"/>
        <v>18000</v>
      </c>
      <c r="S18" s="190">
        <f t="shared" si="9"/>
        <v>0</v>
      </c>
      <c r="T18" s="190">
        <f t="shared" si="9"/>
        <v>18000</v>
      </c>
      <c r="U18" s="190">
        <f t="shared" si="9"/>
        <v>-5000</v>
      </c>
      <c r="V18" s="190">
        <f t="shared" si="9"/>
        <v>13000</v>
      </c>
      <c r="W18" s="190">
        <f aca="true" t="shared" si="10" ref="W18:AB18">SUM(W19:W21)</f>
        <v>0</v>
      </c>
      <c r="X18" s="190">
        <f t="shared" si="10"/>
        <v>13000</v>
      </c>
      <c r="Y18" s="190">
        <f t="shared" si="10"/>
        <v>0</v>
      </c>
      <c r="Z18" s="190">
        <f t="shared" si="10"/>
        <v>13000</v>
      </c>
      <c r="AA18" s="190">
        <f t="shared" si="10"/>
        <v>0</v>
      </c>
      <c r="AB18" s="190">
        <f t="shared" si="10"/>
        <v>13000</v>
      </c>
      <c r="AC18" s="190">
        <f aca="true" t="shared" si="11" ref="AC18:AH18">SUM(AC19:AC21)</f>
        <v>0</v>
      </c>
      <c r="AD18" s="190">
        <f t="shared" si="11"/>
        <v>13000</v>
      </c>
      <c r="AE18" s="190">
        <f t="shared" si="11"/>
        <v>0</v>
      </c>
      <c r="AF18" s="190">
        <f t="shared" si="11"/>
        <v>13000</v>
      </c>
      <c r="AG18" s="191">
        <f t="shared" si="11"/>
        <v>0</v>
      </c>
      <c r="AH18" s="190">
        <f t="shared" si="11"/>
        <v>13000</v>
      </c>
      <c r="AI18" s="190">
        <f aca="true" t="shared" si="12" ref="AI18:AN18">SUM(AI19:AI21)</f>
        <v>0</v>
      </c>
      <c r="AJ18" s="190">
        <f t="shared" si="12"/>
        <v>13000</v>
      </c>
      <c r="AK18" s="190">
        <f t="shared" si="12"/>
        <v>-7500</v>
      </c>
      <c r="AL18" s="190">
        <f t="shared" si="12"/>
        <v>5500</v>
      </c>
      <c r="AM18" s="190">
        <f t="shared" si="12"/>
        <v>0</v>
      </c>
      <c r="AN18" s="190">
        <f t="shared" si="12"/>
        <v>5500</v>
      </c>
      <c r="AO18" s="190">
        <f>SUM(AO19:AO21)</f>
        <v>16916</v>
      </c>
      <c r="AP18" s="81">
        <f>SUM(AP19:AP21)</f>
        <v>0</v>
      </c>
      <c r="AQ18" s="247">
        <f>SUM(AQ19:AQ21)</f>
        <v>5500</v>
      </c>
      <c r="AR18" s="82">
        <f>SUM(AR19:AR21)</f>
        <v>0</v>
      </c>
      <c r="AS18" s="269">
        <f>SUM(AS19:AS21)</f>
        <v>5500</v>
      </c>
      <c r="AT18" s="103"/>
      <c r="AU18" s="103"/>
      <c r="AV18" s="103"/>
      <c r="AW18" s="126">
        <v>2788</v>
      </c>
      <c r="AX18" s="127" t="s">
        <v>164</v>
      </c>
      <c r="AY18" s="100">
        <v>25000</v>
      </c>
      <c r="AZ18" s="100"/>
    </row>
    <row r="19" spans="1:52" ht="12.75" hidden="1">
      <c r="A19" s="50"/>
      <c r="B19" s="27">
        <v>4210</v>
      </c>
      <c r="C19" s="18" t="s">
        <v>14</v>
      </c>
      <c r="D19" s="104">
        <v>5000</v>
      </c>
      <c r="E19" s="106"/>
      <c r="F19" s="106">
        <f>D19+E19</f>
        <v>5000</v>
      </c>
      <c r="G19" s="109"/>
      <c r="H19" s="106">
        <f>G19+F19</f>
        <v>5000</v>
      </c>
      <c r="I19" s="109"/>
      <c r="J19" s="106">
        <f>I19+H19</f>
        <v>5000</v>
      </c>
      <c r="K19" s="110"/>
      <c r="L19" s="106">
        <f>K19+H19</f>
        <v>5000</v>
      </c>
      <c r="M19" s="110"/>
      <c r="N19" s="106">
        <f>M19+L19</f>
        <v>5000</v>
      </c>
      <c r="O19" s="106"/>
      <c r="P19" s="106">
        <f>O19+N19</f>
        <v>5000</v>
      </c>
      <c r="Q19" s="110"/>
      <c r="R19" s="106">
        <f>Q19+P19</f>
        <v>5000</v>
      </c>
      <c r="S19" s="110"/>
      <c r="T19" s="106">
        <f>S19+R19</f>
        <v>5000</v>
      </c>
      <c r="U19" s="110"/>
      <c r="V19" s="106">
        <f>U19+T19</f>
        <v>5000</v>
      </c>
      <c r="W19" s="110"/>
      <c r="X19" s="106">
        <f>W19+V19</f>
        <v>5000</v>
      </c>
      <c r="Y19" s="110"/>
      <c r="Z19" s="106">
        <f>Y19+X19</f>
        <v>5000</v>
      </c>
      <c r="AA19" s="110"/>
      <c r="AB19" s="106">
        <f>AA19+Z19</f>
        <v>5000</v>
      </c>
      <c r="AC19" s="110"/>
      <c r="AD19" s="106">
        <f>AC19+AB19</f>
        <v>5000</v>
      </c>
      <c r="AE19" s="110"/>
      <c r="AF19" s="106">
        <f>AE19+AD19</f>
        <v>5000</v>
      </c>
      <c r="AG19" s="147"/>
      <c r="AH19" s="106">
        <f>AG19+AF19</f>
        <v>5000</v>
      </c>
      <c r="AI19" s="109"/>
      <c r="AJ19" s="106">
        <f>AI19+AH19</f>
        <v>5000</v>
      </c>
      <c r="AK19" s="109">
        <v>-2500</v>
      </c>
      <c r="AL19" s="106">
        <f>AK19+AJ19</f>
        <v>2500</v>
      </c>
      <c r="AM19" s="109"/>
      <c r="AN19" s="106">
        <f>AM19+AL19</f>
        <v>2500</v>
      </c>
      <c r="AO19" s="106">
        <v>2000</v>
      </c>
      <c r="AP19" s="113">
        <v>0</v>
      </c>
      <c r="AQ19" s="243">
        <v>2500</v>
      </c>
      <c r="AR19" s="240"/>
      <c r="AS19" s="267">
        <f>AR19+AQ19</f>
        <v>2500</v>
      </c>
      <c r="AT19" s="103"/>
      <c r="AU19" s="103"/>
      <c r="AV19" s="103"/>
      <c r="AW19" s="126"/>
      <c r="AX19" s="127"/>
      <c r="AY19" s="100"/>
      <c r="AZ19" s="100"/>
    </row>
    <row r="20" spans="1:52" ht="12.75" hidden="1">
      <c r="A20" s="50"/>
      <c r="B20" s="27">
        <v>4300</v>
      </c>
      <c r="C20" s="18" t="s">
        <v>15</v>
      </c>
      <c r="D20" s="104">
        <v>10000</v>
      </c>
      <c r="E20" s="106"/>
      <c r="F20" s="106">
        <f>D20+E20</f>
        <v>10000</v>
      </c>
      <c r="G20" s="109"/>
      <c r="H20" s="106">
        <f>G20+F20</f>
        <v>10000</v>
      </c>
      <c r="I20" s="109"/>
      <c r="J20" s="106">
        <f>I20+H20</f>
        <v>10000</v>
      </c>
      <c r="K20" s="110"/>
      <c r="L20" s="106">
        <f>K20+H20</f>
        <v>10000</v>
      </c>
      <c r="M20" s="110"/>
      <c r="N20" s="106">
        <f>M20+L20</f>
        <v>10000</v>
      </c>
      <c r="O20" s="106"/>
      <c r="P20" s="106">
        <f>O20+N20</f>
        <v>10000</v>
      </c>
      <c r="Q20" s="110"/>
      <c r="R20" s="106">
        <f>Q20+P20</f>
        <v>10000</v>
      </c>
      <c r="S20" s="110"/>
      <c r="T20" s="106">
        <f>S20+R20</f>
        <v>10000</v>
      </c>
      <c r="U20" s="109">
        <v>-5000</v>
      </c>
      <c r="V20" s="106">
        <f>U20+T20</f>
        <v>5000</v>
      </c>
      <c r="W20" s="109"/>
      <c r="X20" s="106">
        <f>W20+V20</f>
        <v>5000</v>
      </c>
      <c r="Y20" s="109"/>
      <c r="Z20" s="106">
        <f>Y20+X20</f>
        <v>5000</v>
      </c>
      <c r="AA20" s="109"/>
      <c r="AB20" s="106">
        <f>AA20+Z20</f>
        <v>5000</v>
      </c>
      <c r="AC20" s="109"/>
      <c r="AD20" s="106">
        <f>AC20+AB20</f>
        <v>5000</v>
      </c>
      <c r="AE20" s="109"/>
      <c r="AF20" s="106">
        <f>AE20+AD20</f>
        <v>5000</v>
      </c>
      <c r="AG20" s="147"/>
      <c r="AH20" s="106">
        <f>AG20+AF20</f>
        <v>5000</v>
      </c>
      <c r="AI20" s="109"/>
      <c r="AJ20" s="106">
        <f>AI20+AH20</f>
        <v>5000</v>
      </c>
      <c r="AK20" s="109">
        <v>-5000</v>
      </c>
      <c r="AL20" s="106">
        <f>AK20+AJ20</f>
        <v>0</v>
      </c>
      <c r="AM20" s="109"/>
      <c r="AN20" s="106">
        <f>AM20+AL20</f>
        <v>0</v>
      </c>
      <c r="AO20" s="106">
        <v>12200</v>
      </c>
      <c r="AP20" s="113">
        <v>0</v>
      </c>
      <c r="AQ20" s="243">
        <v>1000</v>
      </c>
      <c r="AR20" s="240"/>
      <c r="AS20" s="267">
        <f>AR20+AQ20</f>
        <v>1000</v>
      </c>
      <c r="AT20" s="103"/>
      <c r="AU20" s="103"/>
      <c r="AV20" s="103"/>
      <c r="AW20" s="126">
        <v>541</v>
      </c>
      <c r="AX20" s="127" t="s">
        <v>163</v>
      </c>
      <c r="AY20" s="100">
        <v>7950</v>
      </c>
      <c r="AZ20" s="100"/>
    </row>
    <row r="21" spans="1:52" ht="13.5" hidden="1" thickBot="1">
      <c r="A21" s="50"/>
      <c r="B21" s="27">
        <v>4430</v>
      </c>
      <c r="C21" s="18" t="s">
        <v>16</v>
      </c>
      <c r="D21" s="104">
        <v>3000</v>
      </c>
      <c r="E21" s="106"/>
      <c r="F21" s="106">
        <f>D21+E21</f>
        <v>3000</v>
      </c>
      <c r="G21" s="109"/>
      <c r="H21" s="106">
        <f>G21+F21</f>
        <v>3000</v>
      </c>
      <c r="I21" s="109"/>
      <c r="J21" s="106">
        <f>I21+H21</f>
        <v>3000</v>
      </c>
      <c r="K21" s="110"/>
      <c r="L21" s="106">
        <f>K21+H21</f>
        <v>3000</v>
      </c>
      <c r="M21" s="110"/>
      <c r="N21" s="106">
        <f>M21+L21</f>
        <v>3000</v>
      </c>
      <c r="O21" s="106"/>
      <c r="P21" s="106">
        <f>O21+N21</f>
        <v>3000</v>
      </c>
      <c r="Q21" s="110"/>
      <c r="R21" s="106">
        <f>Q21+P21</f>
        <v>3000</v>
      </c>
      <c r="S21" s="110"/>
      <c r="T21" s="106">
        <f>S21+R21</f>
        <v>3000</v>
      </c>
      <c r="U21" s="110"/>
      <c r="V21" s="106">
        <f>U21+T21</f>
        <v>3000</v>
      </c>
      <c r="W21" s="110"/>
      <c r="X21" s="106">
        <f>W21+V21</f>
        <v>3000</v>
      </c>
      <c r="Y21" s="110"/>
      <c r="Z21" s="106">
        <f>Y21+X21</f>
        <v>3000</v>
      </c>
      <c r="AA21" s="110"/>
      <c r="AB21" s="106">
        <f>AA21+Z21</f>
        <v>3000</v>
      </c>
      <c r="AC21" s="110"/>
      <c r="AD21" s="106">
        <f>AC21+AB21</f>
        <v>3000</v>
      </c>
      <c r="AE21" s="110"/>
      <c r="AF21" s="106">
        <f>AE21+AD21</f>
        <v>3000</v>
      </c>
      <c r="AG21" s="147"/>
      <c r="AH21" s="106">
        <f>AG21+AF21</f>
        <v>3000</v>
      </c>
      <c r="AI21" s="109"/>
      <c r="AJ21" s="106">
        <f>AI21+AH21</f>
        <v>3000</v>
      </c>
      <c r="AK21" s="109"/>
      <c r="AL21" s="106">
        <f>AK21+AJ21</f>
        <v>3000</v>
      </c>
      <c r="AM21" s="109"/>
      <c r="AN21" s="106">
        <f>AM21+AL21</f>
        <v>3000</v>
      </c>
      <c r="AO21" s="106">
        <v>2716</v>
      </c>
      <c r="AP21" s="113">
        <v>0</v>
      </c>
      <c r="AQ21" s="243">
        <v>2000</v>
      </c>
      <c r="AR21" s="240"/>
      <c r="AS21" s="244">
        <f>AR21+AQ21</f>
        <v>2000</v>
      </c>
      <c r="AT21" s="103"/>
      <c r="AU21" s="103"/>
      <c r="AV21" s="103"/>
      <c r="AW21" s="126"/>
      <c r="AX21" s="127"/>
      <c r="AY21" s="100"/>
      <c r="AZ21" s="100"/>
    </row>
    <row r="22" spans="1:52" ht="13.5" hidden="1" thickBot="1">
      <c r="A22" s="218">
        <v>500</v>
      </c>
      <c r="B22" s="187"/>
      <c r="C22" s="188" t="s">
        <v>17</v>
      </c>
      <c r="D22" s="189">
        <f aca="true" t="shared" si="13" ref="D22:AR22">SUM(D23)</f>
        <v>16000</v>
      </c>
      <c r="E22" s="189">
        <f t="shared" si="13"/>
        <v>0</v>
      </c>
      <c r="F22" s="189">
        <f t="shared" si="13"/>
        <v>16000</v>
      </c>
      <c r="G22" s="189">
        <f t="shared" si="13"/>
        <v>0</v>
      </c>
      <c r="H22" s="189">
        <f t="shared" si="13"/>
        <v>16000</v>
      </c>
      <c r="I22" s="189">
        <f t="shared" si="13"/>
        <v>0</v>
      </c>
      <c r="J22" s="189">
        <f t="shared" si="13"/>
        <v>16000</v>
      </c>
      <c r="K22" s="189">
        <f t="shared" si="13"/>
        <v>0</v>
      </c>
      <c r="L22" s="189">
        <f t="shared" si="13"/>
        <v>16000</v>
      </c>
      <c r="M22" s="189">
        <f t="shared" si="13"/>
        <v>0</v>
      </c>
      <c r="N22" s="189">
        <f t="shared" si="13"/>
        <v>16000</v>
      </c>
      <c r="O22" s="189">
        <f t="shared" si="13"/>
        <v>0</v>
      </c>
      <c r="P22" s="189">
        <f t="shared" si="13"/>
        <v>16000</v>
      </c>
      <c r="Q22" s="189">
        <f t="shared" si="13"/>
        <v>0</v>
      </c>
      <c r="R22" s="189">
        <f t="shared" si="13"/>
        <v>16000</v>
      </c>
      <c r="S22" s="189">
        <f t="shared" si="13"/>
        <v>0</v>
      </c>
      <c r="T22" s="189">
        <f t="shared" si="13"/>
        <v>16000</v>
      </c>
      <c r="U22" s="189">
        <f t="shared" si="13"/>
        <v>0</v>
      </c>
      <c r="V22" s="189">
        <f t="shared" si="13"/>
        <v>16000</v>
      </c>
      <c r="W22" s="189">
        <f t="shared" si="13"/>
        <v>0</v>
      </c>
      <c r="X22" s="189">
        <f t="shared" si="13"/>
        <v>16000</v>
      </c>
      <c r="Y22" s="189">
        <f t="shared" si="13"/>
        <v>0</v>
      </c>
      <c r="Z22" s="189">
        <f t="shared" si="13"/>
        <v>16000</v>
      </c>
      <c r="AA22" s="189">
        <f t="shared" si="13"/>
        <v>0</v>
      </c>
      <c r="AB22" s="189">
        <f t="shared" si="13"/>
        <v>16000</v>
      </c>
      <c r="AC22" s="189">
        <f t="shared" si="13"/>
        <v>0</v>
      </c>
      <c r="AD22" s="189">
        <f t="shared" si="13"/>
        <v>16000</v>
      </c>
      <c r="AE22" s="189">
        <f t="shared" si="13"/>
        <v>0</v>
      </c>
      <c r="AF22" s="189">
        <f t="shared" si="13"/>
        <v>16000</v>
      </c>
      <c r="AG22" s="189">
        <f t="shared" si="13"/>
        <v>0</v>
      </c>
      <c r="AH22" s="189">
        <f t="shared" si="13"/>
        <v>16000</v>
      </c>
      <c r="AI22" s="189">
        <f t="shared" si="13"/>
        <v>0</v>
      </c>
      <c r="AJ22" s="189">
        <f t="shared" si="13"/>
        <v>16000</v>
      </c>
      <c r="AK22" s="189">
        <f t="shared" si="13"/>
        <v>0</v>
      </c>
      <c r="AL22" s="189">
        <f t="shared" si="13"/>
        <v>16000</v>
      </c>
      <c r="AM22" s="189">
        <f t="shared" si="13"/>
        <v>0</v>
      </c>
      <c r="AN22" s="189">
        <f t="shared" si="13"/>
        <v>16000</v>
      </c>
      <c r="AO22" s="189">
        <f t="shared" si="13"/>
        <v>15370</v>
      </c>
      <c r="AP22" s="221">
        <f t="shared" si="13"/>
        <v>13519</v>
      </c>
      <c r="AQ22" s="249">
        <f t="shared" si="13"/>
        <v>17500</v>
      </c>
      <c r="AR22" s="242">
        <f t="shared" si="13"/>
        <v>0</v>
      </c>
      <c r="AS22" s="244">
        <f aca="true" t="shared" si="14" ref="AS22:AS85">AR22+AQ22</f>
        <v>17500</v>
      </c>
      <c r="AT22" s="103"/>
      <c r="AU22" s="103"/>
      <c r="AV22" s="103"/>
      <c r="AW22" s="126">
        <v>-1615</v>
      </c>
      <c r="AX22" s="127"/>
      <c r="AY22" s="100"/>
      <c r="AZ22" s="100"/>
    </row>
    <row r="23" spans="1:52" ht="12.75" hidden="1">
      <c r="A23" s="31">
        <v>50095</v>
      </c>
      <c r="B23" s="26"/>
      <c r="C23" s="19" t="s">
        <v>13</v>
      </c>
      <c r="D23" s="190">
        <f>SUM(D25:D25)</f>
        <v>16000</v>
      </c>
      <c r="E23" s="190">
        <f>SUM(E25:E25)</f>
        <v>0</v>
      </c>
      <c r="F23" s="190">
        <f>SUM(F25:F25)</f>
        <v>16000</v>
      </c>
      <c r="G23" s="190">
        <f>SUM(G24:G25)</f>
        <v>0</v>
      </c>
      <c r="H23" s="190">
        <f>SUM(H24:H25)</f>
        <v>16000</v>
      </c>
      <c r="I23" s="190">
        <f>SUM(I24:I25)</f>
        <v>0</v>
      </c>
      <c r="J23" s="190">
        <f>SUM(J24:J25)</f>
        <v>16000</v>
      </c>
      <c r="K23" s="110"/>
      <c r="L23" s="190">
        <f>SUM(L24:L25)</f>
        <v>16000</v>
      </c>
      <c r="M23" s="110"/>
      <c r="N23" s="190">
        <f>SUM(N24:N25)</f>
        <v>16000</v>
      </c>
      <c r="O23" s="190"/>
      <c r="P23" s="190">
        <f>SUM(P24:P25)</f>
        <v>16000</v>
      </c>
      <c r="Q23" s="110"/>
      <c r="R23" s="190">
        <f>SUM(R24:R25)</f>
        <v>16000</v>
      </c>
      <c r="S23" s="110"/>
      <c r="T23" s="190">
        <f>SUM(T24:T25)</f>
        <v>16000</v>
      </c>
      <c r="U23" s="110"/>
      <c r="V23" s="190">
        <f>SUM(V24:V25)</f>
        <v>16000</v>
      </c>
      <c r="W23" s="110"/>
      <c r="X23" s="190">
        <f>SUM(X24:X25)</f>
        <v>16000</v>
      </c>
      <c r="Y23" s="110"/>
      <c r="Z23" s="190">
        <f>SUM(Z24:Z25)</f>
        <v>16000</v>
      </c>
      <c r="AA23" s="110"/>
      <c r="AB23" s="190">
        <f>SUM(AB24:AB25)</f>
        <v>16000</v>
      </c>
      <c r="AC23" s="110"/>
      <c r="AD23" s="190">
        <f>SUM(AD24:AD25)</f>
        <v>16000</v>
      </c>
      <c r="AE23" s="110"/>
      <c r="AF23" s="190">
        <f>SUM(AF24:AF25)</f>
        <v>16000</v>
      </c>
      <c r="AG23" s="147"/>
      <c r="AH23" s="190">
        <f>SUM(AH24:AH25)</f>
        <v>16000</v>
      </c>
      <c r="AI23" s="109"/>
      <c r="AJ23" s="190">
        <f>SUM(AJ24:AJ25)</f>
        <v>16000</v>
      </c>
      <c r="AK23" s="109"/>
      <c r="AL23" s="190">
        <f>SUM(AL24:AL25)</f>
        <v>16000</v>
      </c>
      <c r="AM23" s="109"/>
      <c r="AN23" s="190">
        <f>SUM(AN24:AN25)</f>
        <v>16000</v>
      </c>
      <c r="AO23" s="190">
        <f>SUM(AO24:AO25)</f>
        <v>15370</v>
      </c>
      <c r="AP23" s="81">
        <f>SUM(AP24:AP25)</f>
        <v>13519</v>
      </c>
      <c r="AQ23" s="247">
        <f>SUM(AQ24:AQ25)</f>
        <v>17500</v>
      </c>
      <c r="AR23" s="274"/>
      <c r="AS23" s="244">
        <f t="shared" si="14"/>
        <v>17500</v>
      </c>
      <c r="AT23" s="103"/>
      <c r="AU23" s="103"/>
      <c r="AV23" s="103"/>
      <c r="AW23" s="126"/>
      <c r="AX23" s="127"/>
      <c r="AY23" s="100"/>
      <c r="AZ23" s="100"/>
    </row>
    <row r="24" spans="1:52" ht="12.75" hidden="1">
      <c r="A24" s="31"/>
      <c r="B24" s="27">
        <v>4270</v>
      </c>
      <c r="C24" s="18" t="s">
        <v>24</v>
      </c>
      <c r="D24" s="104">
        <v>0</v>
      </c>
      <c r="E24" s="190"/>
      <c r="F24" s="190">
        <v>0</v>
      </c>
      <c r="G24" s="104">
        <v>1500</v>
      </c>
      <c r="H24" s="106">
        <f>G24+F24</f>
        <v>1500</v>
      </c>
      <c r="I24" s="104"/>
      <c r="J24" s="106">
        <f>I24+H24</f>
        <v>1500</v>
      </c>
      <c r="K24" s="110"/>
      <c r="L24" s="106">
        <f>K24+H24</f>
        <v>1500</v>
      </c>
      <c r="M24" s="110"/>
      <c r="N24" s="106">
        <f>M24+L24</f>
        <v>1500</v>
      </c>
      <c r="O24" s="106"/>
      <c r="P24" s="106">
        <f>O24+N24</f>
        <v>1500</v>
      </c>
      <c r="Q24" s="110"/>
      <c r="R24" s="106">
        <f>Q24+P24</f>
        <v>1500</v>
      </c>
      <c r="S24" s="110"/>
      <c r="T24" s="106">
        <f>S24+R24</f>
        <v>1500</v>
      </c>
      <c r="U24" s="110"/>
      <c r="V24" s="106">
        <f>U24+T24</f>
        <v>1500</v>
      </c>
      <c r="W24" s="110"/>
      <c r="X24" s="106">
        <f>W24+V24</f>
        <v>1500</v>
      </c>
      <c r="Y24" s="110"/>
      <c r="Z24" s="106">
        <f>Y24+X24</f>
        <v>1500</v>
      </c>
      <c r="AA24" s="110"/>
      <c r="AB24" s="106">
        <f>AA24+Z24</f>
        <v>1500</v>
      </c>
      <c r="AC24" s="110"/>
      <c r="AD24" s="106">
        <f>AC24+AB24</f>
        <v>1500</v>
      </c>
      <c r="AE24" s="110"/>
      <c r="AF24" s="106">
        <f>AE24+AD24</f>
        <v>1500</v>
      </c>
      <c r="AG24" s="147"/>
      <c r="AH24" s="106">
        <f>AG24+AF24</f>
        <v>1500</v>
      </c>
      <c r="AI24" s="109"/>
      <c r="AJ24" s="106">
        <f>AI24+AH24</f>
        <v>1500</v>
      </c>
      <c r="AK24" s="109"/>
      <c r="AL24" s="106">
        <f>AK24+AJ24</f>
        <v>1500</v>
      </c>
      <c r="AM24" s="109"/>
      <c r="AN24" s="106">
        <f>AM24+AL24</f>
        <v>1500</v>
      </c>
      <c r="AO24" s="106">
        <v>0</v>
      </c>
      <c r="AP24" s="113">
        <v>623</v>
      </c>
      <c r="AQ24" s="243">
        <v>1500</v>
      </c>
      <c r="AR24" s="275"/>
      <c r="AS24" s="244">
        <f t="shared" si="14"/>
        <v>1500</v>
      </c>
      <c r="AT24" s="103"/>
      <c r="AU24" s="103"/>
      <c r="AV24" s="103"/>
      <c r="AW24" s="126"/>
      <c r="AX24" s="127"/>
      <c r="AY24" s="100"/>
      <c r="AZ24" s="100"/>
    </row>
    <row r="25" spans="1:52" ht="12.75" hidden="1">
      <c r="A25" s="21"/>
      <c r="B25" s="27">
        <v>4300</v>
      </c>
      <c r="C25" s="18" t="s">
        <v>15</v>
      </c>
      <c r="D25" s="104">
        <v>16000</v>
      </c>
      <c r="E25" s="106"/>
      <c r="F25" s="106">
        <f>D25+E25</f>
        <v>16000</v>
      </c>
      <c r="G25" s="109">
        <v>-1500</v>
      </c>
      <c r="H25" s="106">
        <f>G25+F25</f>
        <v>14500</v>
      </c>
      <c r="I25" s="109"/>
      <c r="J25" s="106">
        <f>I25+H25</f>
        <v>14500</v>
      </c>
      <c r="K25" s="110"/>
      <c r="L25" s="106">
        <f>K25+H25</f>
        <v>14500</v>
      </c>
      <c r="M25" s="110"/>
      <c r="N25" s="106">
        <f>M25+L25</f>
        <v>14500</v>
      </c>
      <c r="O25" s="106"/>
      <c r="P25" s="106">
        <f>O25+N25</f>
        <v>14500</v>
      </c>
      <c r="Q25" s="110"/>
      <c r="R25" s="106">
        <f>Q25+P25</f>
        <v>14500</v>
      </c>
      <c r="S25" s="110"/>
      <c r="T25" s="106">
        <f>S25+R25</f>
        <v>14500</v>
      </c>
      <c r="U25" s="110"/>
      <c r="V25" s="106">
        <f>U25+T25</f>
        <v>14500</v>
      </c>
      <c r="W25" s="110"/>
      <c r="X25" s="106">
        <f>W25+V25</f>
        <v>14500</v>
      </c>
      <c r="Y25" s="110"/>
      <c r="Z25" s="106">
        <f>Y25+X25</f>
        <v>14500</v>
      </c>
      <c r="AA25" s="110"/>
      <c r="AB25" s="106">
        <f>AA25+Z25</f>
        <v>14500</v>
      </c>
      <c r="AC25" s="110"/>
      <c r="AD25" s="106">
        <f>AC25+AB25</f>
        <v>14500</v>
      </c>
      <c r="AE25" s="110"/>
      <c r="AF25" s="106">
        <f>AE25+AD25</f>
        <v>14500</v>
      </c>
      <c r="AG25" s="147"/>
      <c r="AH25" s="106">
        <f>AG25+AF25</f>
        <v>14500</v>
      </c>
      <c r="AI25" s="109"/>
      <c r="AJ25" s="106">
        <f>AI25+AH25</f>
        <v>14500</v>
      </c>
      <c r="AK25" s="109"/>
      <c r="AL25" s="106">
        <f>AK25+AJ25</f>
        <v>14500</v>
      </c>
      <c r="AM25" s="109"/>
      <c r="AN25" s="106">
        <f>AM25+AL25</f>
        <v>14500</v>
      </c>
      <c r="AO25" s="106">
        <v>15370</v>
      </c>
      <c r="AP25" s="113">
        <f>11733+384+488+291</f>
        <v>12896</v>
      </c>
      <c r="AQ25" s="243">
        <v>16000</v>
      </c>
      <c r="AR25" s="275"/>
      <c r="AS25" s="244">
        <f t="shared" si="14"/>
        <v>16000</v>
      </c>
      <c r="AT25" s="158"/>
      <c r="AU25" s="103"/>
      <c r="AV25" s="103"/>
      <c r="AW25" s="126">
        <v>10000</v>
      </c>
      <c r="AX25" s="127"/>
      <c r="AY25" s="100"/>
      <c r="AZ25" s="100"/>
    </row>
    <row r="26" spans="1:52" ht="12.75" hidden="1">
      <c r="A26" s="218">
        <v>600</v>
      </c>
      <c r="B26" s="187"/>
      <c r="C26" s="188" t="s">
        <v>18</v>
      </c>
      <c r="D26" s="189">
        <f>SUM(D27,D29,D32,D29,D34)</f>
        <v>5773106</v>
      </c>
      <c r="E26" s="189">
        <f aca="true" t="shared" si="15" ref="E26:AP26">SUM(E27,E29,E32,E29,E34)</f>
        <v>0</v>
      </c>
      <c r="F26" s="189">
        <f t="shared" si="15"/>
        <v>5773106</v>
      </c>
      <c r="G26" s="189">
        <f t="shared" si="15"/>
        <v>0</v>
      </c>
      <c r="H26" s="189">
        <f t="shared" si="15"/>
        <v>5773106</v>
      </c>
      <c r="I26" s="189">
        <f t="shared" si="15"/>
        <v>0</v>
      </c>
      <c r="J26" s="189">
        <f t="shared" si="15"/>
        <v>5773106</v>
      </c>
      <c r="K26" s="189">
        <f t="shared" si="15"/>
        <v>0</v>
      </c>
      <c r="L26" s="189">
        <f t="shared" si="15"/>
        <v>5773106</v>
      </c>
      <c r="M26" s="189">
        <f t="shared" si="15"/>
        <v>-345000</v>
      </c>
      <c r="N26" s="189">
        <f t="shared" si="15"/>
        <v>5428106</v>
      </c>
      <c r="O26" s="189">
        <f t="shared" si="15"/>
        <v>0</v>
      </c>
      <c r="P26" s="189">
        <f t="shared" si="15"/>
        <v>5428106</v>
      </c>
      <c r="Q26" s="189">
        <f t="shared" si="15"/>
        <v>-150000</v>
      </c>
      <c r="R26" s="189">
        <f t="shared" si="15"/>
        <v>5278106</v>
      </c>
      <c r="S26" s="189">
        <f t="shared" si="15"/>
        <v>0</v>
      </c>
      <c r="T26" s="189">
        <f t="shared" si="15"/>
        <v>5278106</v>
      </c>
      <c r="U26" s="189">
        <f t="shared" si="15"/>
        <v>270000</v>
      </c>
      <c r="V26" s="189">
        <f t="shared" si="15"/>
        <v>5548106</v>
      </c>
      <c r="W26" s="189">
        <f t="shared" si="15"/>
        <v>0</v>
      </c>
      <c r="X26" s="189">
        <f t="shared" si="15"/>
        <v>5548106</v>
      </c>
      <c r="Y26" s="189">
        <f t="shared" si="15"/>
        <v>0</v>
      </c>
      <c r="Z26" s="189">
        <f t="shared" si="15"/>
        <v>5548106</v>
      </c>
      <c r="AA26" s="189">
        <f t="shared" si="15"/>
        <v>-30000</v>
      </c>
      <c r="AB26" s="189">
        <f t="shared" si="15"/>
        <v>5518106</v>
      </c>
      <c r="AC26" s="189">
        <f t="shared" si="15"/>
        <v>0</v>
      </c>
      <c r="AD26" s="189">
        <f t="shared" si="15"/>
        <v>5518106</v>
      </c>
      <c r="AE26" s="189">
        <f t="shared" si="15"/>
        <v>0</v>
      </c>
      <c r="AF26" s="189">
        <f t="shared" si="15"/>
        <v>5518106</v>
      </c>
      <c r="AG26" s="189">
        <f t="shared" si="15"/>
        <v>0</v>
      </c>
      <c r="AH26" s="189">
        <f t="shared" si="15"/>
        <v>5518106</v>
      </c>
      <c r="AI26" s="189">
        <f t="shared" si="15"/>
        <v>0</v>
      </c>
      <c r="AJ26" s="189">
        <f t="shared" si="15"/>
        <v>5518106</v>
      </c>
      <c r="AK26" s="189">
        <f t="shared" si="15"/>
        <v>-2900</v>
      </c>
      <c r="AL26" s="189">
        <f t="shared" si="15"/>
        <v>5515206</v>
      </c>
      <c r="AM26" s="189">
        <f t="shared" si="15"/>
        <v>0</v>
      </c>
      <c r="AN26" s="189">
        <f t="shared" si="15"/>
        <v>5515206</v>
      </c>
      <c r="AO26" s="189">
        <f t="shared" si="15"/>
        <v>2159015</v>
      </c>
      <c r="AP26" s="221">
        <f t="shared" si="15"/>
        <v>4810200</v>
      </c>
      <c r="AQ26" s="249">
        <f>SUM(AQ27,AQ29,AQ32,AQ34,AQ43)</f>
        <v>2537661</v>
      </c>
      <c r="AR26" s="276"/>
      <c r="AS26" s="244">
        <f t="shared" si="14"/>
        <v>2537661</v>
      </c>
      <c r="AT26" s="158"/>
      <c r="AU26" s="103"/>
      <c r="AV26" s="103"/>
      <c r="AW26" s="126">
        <v>-1000</v>
      </c>
      <c r="AX26" s="127" t="s">
        <v>154</v>
      </c>
      <c r="AY26" s="100"/>
      <c r="AZ26" s="100"/>
    </row>
    <row r="27" spans="1:52" ht="12.75" hidden="1">
      <c r="A27" s="31">
        <v>60004</v>
      </c>
      <c r="B27" s="26"/>
      <c r="C27" s="19" t="s">
        <v>19</v>
      </c>
      <c r="D27" s="190">
        <f aca="true" t="shared" si="16" ref="D27:AQ27">SUM(D28)</f>
        <v>42387</v>
      </c>
      <c r="E27" s="190">
        <f t="shared" si="16"/>
        <v>0</v>
      </c>
      <c r="F27" s="190">
        <f t="shared" si="16"/>
        <v>42387</v>
      </c>
      <c r="G27" s="190">
        <f t="shared" si="16"/>
        <v>0</v>
      </c>
      <c r="H27" s="190">
        <f t="shared" si="16"/>
        <v>42387</v>
      </c>
      <c r="I27" s="190">
        <f t="shared" si="16"/>
        <v>0</v>
      </c>
      <c r="J27" s="190">
        <f t="shared" si="16"/>
        <v>42387</v>
      </c>
      <c r="K27" s="190">
        <f t="shared" si="16"/>
        <v>0</v>
      </c>
      <c r="L27" s="190">
        <f t="shared" si="16"/>
        <v>42387</v>
      </c>
      <c r="M27" s="190">
        <f t="shared" si="16"/>
        <v>0</v>
      </c>
      <c r="N27" s="190">
        <f t="shared" si="16"/>
        <v>42387</v>
      </c>
      <c r="O27" s="190"/>
      <c r="P27" s="190">
        <f t="shared" si="16"/>
        <v>42387</v>
      </c>
      <c r="Q27" s="190">
        <f t="shared" si="16"/>
        <v>0</v>
      </c>
      <c r="R27" s="190">
        <f t="shared" si="16"/>
        <v>42387</v>
      </c>
      <c r="S27" s="190">
        <f t="shared" si="16"/>
        <v>0</v>
      </c>
      <c r="T27" s="190">
        <f t="shared" si="16"/>
        <v>42387</v>
      </c>
      <c r="U27" s="190">
        <f t="shared" si="16"/>
        <v>0</v>
      </c>
      <c r="V27" s="190">
        <f t="shared" si="16"/>
        <v>42387</v>
      </c>
      <c r="W27" s="190">
        <f t="shared" si="16"/>
        <v>0</v>
      </c>
      <c r="X27" s="190">
        <f t="shared" si="16"/>
        <v>42387</v>
      </c>
      <c r="Y27" s="190">
        <f t="shared" si="16"/>
        <v>0</v>
      </c>
      <c r="Z27" s="190">
        <f t="shared" si="16"/>
        <v>42387</v>
      </c>
      <c r="AA27" s="190">
        <f t="shared" si="16"/>
        <v>0</v>
      </c>
      <c r="AB27" s="190">
        <f t="shared" si="16"/>
        <v>42387</v>
      </c>
      <c r="AC27" s="190">
        <f t="shared" si="16"/>
        <v>0</v>
      </c>
      <c r="AD27" s="190">
        <f t="shared" si="16"/>
        <v>42387</v>
      </c>
      <c r="AE27" s="190">
        <f t="shared" si="16"/>
        <v>0</v>
      </c>
      <c r="AF27" s="190">
        <f t="shared" si="16"/>
        <v>42387</v>
      </c>
      <c r="AG27" s="191">
        <f t="shared" si="16"/>
        <v>0</v>
      </c>
      <c r="AH27" s="190">
        <f t="shared" si="16"/>
        <v>42387</v>
      </c>
      <c r="AI27" s="190">
        <f t="shared" si="16"/>
        <v>0</v>
      </c>
      <c r="AJ27" s="190">
        <f t="shared" si="16"/>
        <v>42387</v>
      </c>
      <c r="AK27" s="190">
        <f t="shared" si="16"/>
        <v>0</v>
      </c>
      <c r="AL27" s="190">
        <f t="shared" si="16"/>
        <v>42387</v>
      </c>
      <c r="AM27" s="190">
        <f t="shared" si="16"/>
        <v>0</v>
      </c>
      <c r="AN27" s="190">
        <f t="shared" si="16"/>
        <v>42387</v>
      </c>
      <c r="AO27" s="190">
        <f t="shared" si="16"/>
        <v>41605</v>
      </c>
      <c r="AP27" s="81">
        <f t="shared" si="16"/>
        <v>42387</v>
      </c>
      <c r="AQ27" s="247">
        <f t="shared" si="16"/>
        <v>43161</v>
      </c>
      <c r="AR27" s="274"/>
      <c r="AS27" s="244">
        <f t="shared" si="14"/>
        <v>43161</v>
      </c>
      <c r="AT27" s="158"/>
      <c r="AU27" s="103"/>
      <c r="AV27" s="103"/>
      <c r="AW27" s="126"/>
      <c r="AX27" s="127"/>
      <c r="AY27" s="100"/>
      <c r="AZ27" s="100"/>
    </row>
    <row r="28" spans="1:52" ht="33.75" hidden="1">
      <c r="A28" s="21"/>
      <c r="B28" s="27">
        <v>2310</v>
      </c>
      <c r="C28" s="44" t="s">
        <v>20</v>
      </c>
      <c r="D28" s="104">
        <v>42387</v>
      </c>
      <c r="E28" s="106"/>
      <c r="F28" s="106">
        <f>D28+E28</f>
        <v>42387</v>
      </c>
      <c r="G28" s="109"/>
      <c r="H28" s="106">
        <f>G28+F28</f>
        <v>42387</v>
      </c>
      <c r="I28" s="109"/>
      <c r="J28" s="106">
        <f>I28+H28</f>
        <v>42387</v>
      </c>
      <c r="K28" s="110"/>
      <c r="L28" s="106">
        <f>K28+H28</f>
        <v>42387</v>
      </c>
      <c r="M28" s="109"/>
      <c r="N28" s="106">
        <f>M28+L28</f>
        <v>42387</v>
      </c>
      <c r="O28" s="106"/>
      <c r="P28" s="106">
        <f>O28+N28</f>
        <v>42387</v>
      </c>
      <c r="Q28" s="109"/>
      <c r="R28" s="106">
        <f>Q28+P28</f>
        <v>42387</v>
      </c>
      <c r="S28" s="109"/>
      <c r="T28" s="106">
        <f>S28+R28</f>
        <v>42387</v>
      </c>
      <c r="U28" s="109"/>
      <c r="V28" s="106">
        <f>U28+T28</f>
        <v>42387</v>
      </c>
      <c r="W28" s="109"/>
      <c r="X28" s="106">
        <f>W28+V28</f>
        <v>42387</v>
      </c>
      <c r="Y28" s="109"/>
      <c r="Z28" s="106">
        <f>Y28+X28</f>
        <v>42387</v>
      </c>
      <c r="AA28" s="109"/>
      <c r="AB28" s="106">
        <f>AA28+Z28</f>
        <v>42387</v>
      </c>
      <c r="AC28" s="109"/>
      <c r="AD28" s="106">
        <f>AC28+AB28</f>
        <v>42387</v>
      </c>
      <c r="AE28" s="109"/>
      <c r="AF28" s="106">
        <f>AE28+AD28</f>
        <v>42387</v>
      </c>
      <c r="AG28" s="147"/>
      <c r="AH28" s="106">
        <f>AG28+AF28</f>
        <v>42387</v>
      </c>
      <c r="AI28" s="109"/>
      <c r="AJ28" s="106">
        <f>AI28+AH28</f>
        <v>42387</v>
      </c>
      <c r="AK28" s="109"/>
      <c r="AL28" s="106">
        <f>AK28+AJ28</f>
        <v>42387</v>
      </c>
      <c r="AM28" s="109"/>
      <c r="AN28" s="106">
        <f>AM28+AL28</f>
        <v>42387</v>
      </c>
      <c r="AO28" s="106">
        <v>41605</v>
      </c>
      <c r="AP28" s="113">
        <v>42387</v>
      </c>
      <c r="AQ28" s="243">
        <v>43161</v>
      </c>
      <c r="AR28" s="275"/>
      <c r="AS28" s="244">
        <f t="shared" si="14"/>
        <v>43161</v>
      </c>
      <c r="AT28" s="158"/>
      <c r="AU28" s="103"/>
      <c r="AV28" s="103"/>
      <c r="AW28" s="126"/>
      <c r="AX28" s="127"/>
      <c r="AY28" s="100"/>
      <c r="AZ28" s="100"/>
    </row>
    <row r="29" spans="1:52" ht="12.75" hidden="1">
      <c r="A29" s="31">
        <v>60013</v>
      </c>
      <c r="B29" s="26"/>
      <c r="C29" s="19" t="s">
        <v>134</v>
      </c>
      <c r="D29" s="190">
        <f aca="true" t="shared" si="17" ref="D29:N29">SUM(D30:D31)</f>
        <v>50000</v>
      </c>
      <c r="E29" s="190">
        <f t="shared" si="17"/>
        <v>0</v>
      </c>
      <c r="F29" s="190">
        <f t="shared" si="17"/>
        <v>50000</v>
      </c>
      <c r="G29" s="190">
        <f t="shared" si="17"/>
        <v>0</v>
      </c>
      <c r="H29" s="190">
        <f t="shared" si="17"/>
        <v>50000</v>
      </c>
      <c r="I29" s="190">
        <f>SUM(I30:I31)</f>
        <v>0</v>
      </c>
      <c r="J29" s="190">
        <f>SUM(J30:J31)</f>
        <v>50000</v>
      </c>
      <c r="K29" s="190">
        <f t="shared" si="17"/>
        <v>0</v>
      </c>
      <c r="L29" s="190">
        <f t="shared" si="17"/>
        <v>50000</v>
      </c>
      <c r="M29" s="190">
        <f t="shared" si="17"/>
        <v>0</v>
      </c>
      <c r="N29" s="190">
        <f t="shared" si="17"/>
        <v>50000</v>
      </c>
      <c r="O29" s="190"/>
      <c r="P29" s="190">
        <f aca="true" t="shared" si="18" ref="P29:V29">SUM(P30:P31)</f>
        <v>50000</v>
      </c>
      <c r="Q29" s="190">
        <f t="shared" si="18"/>
        <v>0</v>
      </c>
      <c r="R29" s="190">
        <f t="shared" si="18"/>
        <v>50000</v>
      </c>
      <c r="S29" s="190">
        <f t="shared" si="18"/>
        <v>0</v>
      </c>
      <c r="T29" s="190">
        <f t="shared" si="18"/>
        <v>50000</v>
      </c>
      <c r="U29" s="190">
        <f t="shared" si="18"/>
        <v>0</v>
      </c>
      <c r="V29" s="190">
        <f t="shared" si="18"/>
        <v>50000</v>
      </c>
      <c r="W29" s="190">
        <f aca="true" t="shared" si="19" ref="W29:AB29">SUM(W30:W31)</f>
        <v>0</v>
      </c>
      <c r="X29" s="190">
        <f t="shared" si="19"/>
        <v>50000</v>
      </c>
      <c r="Y29" s="190">
        <f t="shared" si="19"/>
        <v>0</v>
      </c>
      <c r="Z29" s="190">
        <f t="shared" si="19"/>
        <v>50000</v>
      </c>
      <c r="AA29" s="190">
        <f t="shared" si="19"/>
        <v>0</v>
      </c>
      <c r="AB29" s="190">
        <f t="shared" si="19"/>
        <v>50000</v>
      </c>
      <c r="AC29" s="190">
        <f aca="true" t="shared" si="20" ref="AC29:AH29">SUM(AC30:AC31)</f>
        <v>0</v>
      </c>
      <c r="AD29" s="190">
        <f t="shared" si="20"/>
        <v>50000</v>
      </c>
      <c r="AE29" s="190">
        <f t="shared" si="20"/>
        <v>0</v>
      </c>
      <c r="AF29" s="190">
        <f t="shared" si="20"/>
        <v>50000</v>
      </c>
      <c r="AG29" s="191">
        <f t="shared" si="20"/>
        <v>0</v>
      </c>
      <c r="AH29" s="190">
        <f t="shared" si="20"/>
        <v>50000</v>
      </c>
      <c r="AI29" s="190">
        <f aca="true" t="shared" si="21" ref="AI29:AN29">SUM(AI30:AI31)</f>
        <v>0</v>
      </c>
      <c r="AJ29" s="190">
        <f t="shared" si="21"/>
        <v>50000</v>
      </c>
      <c r="AK29" s="190">
        <f t="shared" si="21"/>
        <v>0</v>
      </c>
      <c r="AL29" s="190">
        <f t="shared" si="21"/>
        <v>50000</v>
      </c>
      <c r="AM29" s="190">
        <f t="shared" si="21"/>
        <v>0</v>
      </c>
      <c r="AN29" s="190">
        <f t="shared" si="21"/>
        <v>50000</v>
      </c>
      <c r="AO29" s="190">
        <f>SUM(AO30:AO31)</f>
        <v>0</v>
      </c>
      <c r="AP29" s="81">
        <f>SUM(AP30:AP31)</f>
        <v>50000</v>
      </c>
      <c r="AQ29" s="247">
        <f>SUM(AQ30:AQ31)</f>
        <v>0</v>
      </c>
      <c r="AR29" s="274"/>
      <c r="AS29" s="244">
        <f t="shared" si="14"/>
        <v>0</v>
      </c>
      <c r="AT29" s="158"/>
      <c r="AU29" s="103"/>
      <c r="AV29" s="103"/>
      <c r="AW29" s="126"/>
      <c r="AX29" s="127"/>
      <c r="AY29" s="100"/>
      <c r="AZ29" s="100"/>
    </row>
    <row r="30" spans="1:52" ht="24.75" customHeight="1" hidden="1">
      <c r="A30" s="51"/>
      <c r="B30" s="27">
        <v>2710</v>
      </c>
      <c r="C30" s="44" t="s">
        <v>22</v>
      </c>
      <c r="D30" s="104">
        <v>50000</v>
      </c>
      <c r="E30" s="106"/>
      <c r="F30" s="106">
        <f>D30+E30</f>
        <v>50000</v>
      </c>
      <c r="G30" s="109"/>
      <c r="H30" s="106">
        <f>G30+F30</f>
        <v>50000</v>
      </c>
      <c r="I30" s="109"/>
      <c r="J30" s="106">
        <f>I30+H30</f>
        <v>50000</v>
      </c>
      <c r="K30" s="110"/>
      <c r="L30" s="106">
        <f>K30+H30</f>
        <v>50000</v>
      </c>
      <c r="M30" s="109">
        <v>-50000</v>
      </c>
      <c r="N30" s="106">
        <f>M30+L30</f>
        <v>0</v>
      </c>
      <c r="O30" s="106"/>
      <c r="P30" s="106">
        <f>O30+N30</f>
        <v>0</v>
      </c>
      <c r="Q30" s="109"/>
      <c r="R30" s="106">
        <f>Q30+P30</f>
        <v>0</v>
      </c>
      <c r="S30" s="109"/>
      <c r="T30" s="106">
        <f>S30+R30</f>
        <v>0</v>
      </c>
      <c r="U30" s="109"/>
      <c r="V30" s="106">
        <f>U30+T30</f>
        <v>0</v>
      </c>
      <c r="W30" s="109"/>
      <c r="X30" s="106">
        <f>W30+V30</f>
        <v>0</v>
      </c>
      <c r="Y30" s="109"/>
      <c r="Z30" s="106">
        <f>Y30+X30</f>
        <v>0</v>
      </c>
      <c r="AA30" s="109"/>
      <c r="AB30" s="106">
        <f>AA30+Z30</f>
        <v>0</v>
      </c>
      <c r="AC30" s="109"/>
      <c r="AD30" s="106">
        <f>AC30+AB30</f>
        <v>0</v>
      </c>
      <c r="AE30" s="109"/>
      <c r="AF30" s="106">
        <f>AE30+AD30</f>
        <v>0</v>
      </c>
      <c r="AG30" s="147"/>
      <c r="AH30" s="106">
        <f>AG30+AF30</f>
        <v>0</v>
      </c>
      <c r="AI30" s="109"/>
      <c r="AJ30" s="106">
        <f>AI30+AH30</f>
        <v>0</v>
      </c>
      <c r="AK30" s="109"/>
      <c r="AL30" s="106">
        <f>AK30+AJ30</f>
        <v>0</v>
      </c>
      <c r="AM30" s="109"/>
      <c r="AN30" s="106">
        <f>AM30+AL30</f>
        <v>0</v>
      </c>
      <c r="AO30" s="106">
        <v>0</v>
      </c>
      <c r="AP30" s="113"/>
      <c r="AQ30" s="243">
        <v>0</v>
      </c>
      <c r="AR30" s="275"/>
      <c r="AS30" s="244">
        <f t="shared" si="14"/>
        <v>0</v>
      </c>
      <c r="AT30" s="158"/>
      <c r="AU30" s="103"/>
      <c r="AV30" s="103"/>
      <c r="AW30" s="126"/>
      <c r="AX30" s="127"/>
      <c r="AY30" s="100"/>
      <c r="AZ30" s="100"/>
    </row>
    <row r="31" spans="1:52" ht="36.75" customHeight="1" hidden="1">
      <c r="A31" s="51"/>
      <c r="B31" s="27">
        <v>6300</v>
      </c>
      <c r="C31" s="44" t="s">
        <v>144</v>
      </c>
      <c r="D31" s="104"/>
      <c r="E31" s="106"/>
      <c r="F31" s="106"/>
      <c r="G31" s="109"/>
      <c r="H31" s="106"/>
      <c r="I31" s="109"/>
      <c r="J31" s="106"/>
      <c r="K31" s="110"/>
      <c r="L31" s="106"/>
      <c r="M31" s="109">
        <v>50000</v>
      </c>
      <c r="N31" s="106">
        <f>M31+L31</f>
        <v>50000</v>
      </c>
      <c r="O31" s="106"/>
      <c r="P31" s="106">
        <f>O31+N31</f>
        <v>50000</v>
      </c>
      <c r="Q31" s="109"/>
      <c r="R31" s="106">
        <f>Q31+P31</f>
        <v>50000</v>
      </c>
      <c r="S31" s="109"/>
      <c r="T31" s="106">
        <f>S31+R31</f>
        <v>50000</v>
      </c>
      <c r="U31" s="109"/>
      <c r="V31" s="106">
        <f>U31+T31</f>
        <v>50000</v>
      </c>
      <c r="W31" s="109"/>
      <c r="X31" s="106">
        <f>W31+V31</f>
        <v>50000</v>
      </c>
      <c r="Y31" s="109"/>
      <c r="Z31" s="106">
        <f>Y31+X31</f>
        <v>50000</v>
      </c>
      <c r="AA31" s="109"/>
      <c r="AB31" s="106">
        <f>AA31+Z31</f>
        <v>50000</v>
      </c>
      <c r="AC31" s="109"/>
      <c r="AD31" s="106">
        <f>AC31+AB31</f>
        <v>50000</v>
      </c>
      <c r="AE31" s="109"/>
      <c r="AF31" s="106">
        <f>AE31+AD31</f>
        <v>50000</v>
      </c>
      <c r="AG31" s="147"/>
      <c r="AH31" s="106">
        <f>AG31+AF31</f>
        <v>50000</v>
      </c>
      <c r="AI31" s="109"/>
      <c r="AJ31" s="106">
        <f>AI31+AH31</f>
        <v>50000</v>
      </c>
      <c r="AK31" s="109"/>
      <c r="AL31" s="106">
        <f>AK31+AJ31</f>
        <v>50000</v>
      </c>
      <c r="AM31" s="109"/>
      <c r="AN31" s="106">
        <f>AM31+AL31</f>
        <v>50000</v>
      </c>
      <c r="AO31" s="106">
        <v>0</v>
      </c>
      <c r="AP31" s="113">
        <f>AO31+AN31</f>
        <v>50000</v>
      </c>
      <c r="AQ31" s="243">
        <v>0</v>
      </c>
      <c r="AR31" s="275"/>
      <c r="AS31" s="244">
        <f t="shared" si="14"/>
        <v>0</v>
      </c>
      <c r="AT31" s="158"/>
      <c r="AU31" s="103"/>
      <c r="AV31" s="103"/>
      <c r="AW31" s="126"/>
      <c r="AX31" s="127"/>
      <c r="AY31" s="100"/>
      <c r="AZ31" s="100"/>
    </row>
    <row r="32" spans="1:52" ht="12.75" hidden="1">
      <c r="A32" s="31">
        <v>60014</v>
      </c>
      <c r="B32" s="26"/>
      <c r="C32" s="19" t="s">
        <v>21</v>
      </c>
      <c r="D32" s="190">
        <f aca="true" t="shared" si="22" ref="D32:AQ32">SUM(D33:D33)</f>
        <v>100000</v>
      </c>
      <c r="E32" s="190">
        <f t="shared" si="22"/>
        <v>0</v>
      </c>
      <c r="F32" s="190">
        <f t="shared" si="22"/>
        <v>100000</v>
      </c>
      <c r="G32" s="190">
        <f t="shared" si="22"/>
        <v>0</v>
      </c>
      <c r="H32" s="190">
        <f t="shared" si="22"/>
        <v>100000</v>
      </c>
      <c r="I32" s="190">
        <f t="shared" si="22"/>
        <v>0</v>
      </c>
      <c r="J32" s="190">
        <f t="shared" si="22"/>
        <v>100000</v>
      </c>
      <c r="K32" s="190">
        <f t="shared" si="22"/>
        <v>0</v>
      </c>
      <c r="L32" s="190">
        <f t="shared" si="22"/>
        <v>100000</v>
      </c>
      <c r="M32" s="190">
        <f t="shared" si="22"/>
        <v>500000</v>
      </c>
      <c r="N32" s="190">
        <f t="shared" si="22"/>
        <v>600000</v>
      </c>
      <c r="O32" s="190"/>
      <c r="P32" s="190">
        <f t="shared" si="22"/>
        <v>600000</v>
      </c>
      <c r="Q32" s="190">
        <f t="shared" si="22"/>
        <v>0</v>
      </c>
      <c r="R32" s="190">
        <f t="shared" si="22"/>
        <v>600000</v>
      </c>
      <c r="S32" s="190">
        <f t="shared" si="22"/>
        <v>0</v>
      </c>
      <c r="T32" s="190">
        <f t="shared" si="22"/>
        <v>600000</v>
      </c>
      <c r="U32" s="190">
        <f t="shared" si="22"/>
        <v>0</v>
      </c>
      <c r="V32" s="190">
        <f t="shared" si="22"/>
        <v>600000</v>
      </c>
      <c r="W32" s="190">
        <f t="shared" si="22"/>
        <v>0</v>
      </c>
      <c r="X32" s="190">
        <f t="shared" si="22"/>
        <v>600000</v>
      </c>
      <c r="Y32" s="190">
        <f t="shared" si="22"/>
        <v>0</v>
      </c>
      <c r="Z32" s="190">
        <f t="shared" si="22"/>
        <v>600000</v>
      </c>
      <c r="AA32" s="190">
        <f t="shared" si="22"/>
        <v>0</v>
      </c>
      <c r="AB32" s="190">
        <f t="shared" si="22"/>
        <v>600000</v>
      </c>
      <c r="AC32" s="190">
        <f t="shared" si="22"/>
        <v>0</v>
      </c>
      <c r="AD32" s="190">
        <f t="shared" si="22"/>
        <v>600000</v>
      </c>
      <c r="AE32" s="190">
        <f t="shared" si="22"/>
        <v>0</v>
      </c>
      <c r="AF32" s="190">
        <f t="shared" si="22"/>
        <v>600000</v>
      </c>
      <c r="AG32" s="191">
        <f t="shared" si="22"/>
        <v>0</v>
      </c>
      <c r="AH32" s="190">
        <f t="shared" si="22"/>
        <v>600000</v>
      </c>
      <c r="AI32" s="190">
        <f t="shared" si="22"/>
        <v>0</v>
      </c>
      <c r="AJ32" s="190">
        <f t="shared" si="22"/>
        <v>600000</v>
      </c>
      <c r="AK32" s="190">
        <f t="shared" si="22"/>
        <v>0</v>
      </c>
      <c r="AL32" s="190">
        <f t="shared" si="22"/>
        <v>600000</v>
      </c>
      <c r="AM32" s="190">
        <f t="shared" si="22"/>
        <v>0</v>
      </c>
      <c r="AN32" s="190">
        <f t="shared" si="22"/>
        <v>600000</v>
      </c>
      <c r="AO32" s="190">
        <f t="shared" si="22"/>
        <v>730000</v>
      </c>
      <c r="AP32" s="81">
        <f t="shared" si="22"/>
        <v>600000</v>
      </c>
      <c r="AQ32" s="247">
        <f t="shared" si="22"/>
        <v>100000</v>
      </c>
      <c r="AR32" s="274"/>
      <c r="AS32" s="244">
        <f t="shared" si="14"/>
        <v>100000</v>
      </c>
      <c r="AT32" s="158"/>
      <c r="AU32" s="103"/>
      <c r="AV32" s="103"/>
      <c r="AW32" s="126"/>
      <c r="AX32" s="127"/>
      <c r="AY32" s="100"/>
      <c r="AZ32" s="100"/>
    </row>
    <row r="33" spans="1:52" s="13" customFormat="1" ht="26.25" customHeight="1" hidden="1">
      <c r="A33" s="51"/>
      <c r="B33" s="27">
        <v>2710</v>
      </c>
      <c r="C33" s="44" t="s">
        <v>22</v>
      </c>
      <c r="D33" s="104">
        <v>100000</v>
      </c>
      <c r="E33" s="105"/>
      <c r="F33" s="106">
        <f>D33+E33</f>
        <v>100000</v>
      </c>
      <c r="G33" s="107"/>
      <c r="H33" s="106">
        <f>G33+F33</f>
        <v>100000</v>
      </c>
      <c r="I33" s="107"/>
      <c r="J33" s="106">
        <f>I33+H33</f>
        <v>100000</v>
      </c>
      <c r="K33" s="108"/>
      <c r="L33" s="106">
        <f>K33+H33</f>
        <v>100000</v>
      </c>
      <c r="M33" s="193">
        <v>500000</v>
      </c>
      <c r="N33" s="106">
        <f>M33+L33</f>
        <v>600000</v>
      </c>
      <c r="O33" s="106"/>
      <c r="P33" s="106">
        <f>O33+N33</f>
        <v>600000</v>
      </c>
      <c r="Q33" s="193"/>
      <c r="R33" s="106">
        <f>Q33+P33</f>
        <v>600000</v>
      </c>
      <c r="S33" s="193"/>
      <c r="T33" s="106">
        <f>S33+R33</f>
        <v>600000</v>
      </c>
      <c r="U33" s="193"/>
      <c r="V33" s="106">
        <f>U33+T33</f>
        <v>600000</v>
      </c>
      <c r="W33" s="193"/>
      <c r="X33" s="106">
        <f>W33+V33</f>
        <v>600000</v>
      </c>
      <c r="Y33" s="193"/>
      <c r="Z33" s="106">
        <f>Y33+X33</f>
        <v>600000</v>
      </c>
      <c r="AA33" s="193"/>
      <c r="AB33" s="106">
        <f>AA33+Z33</f>
        <v>600000</v>
      </c>
      <c r="AC33" s="193"/>
      <c r="AD33" s="106">
        <f>AC33+AB33</f>
        <v>600000</v>
      </c>
      <c r="AE33" s="193"/>
      <c r="AF33" s="106">
        <f>AE33+AD33</f>
        <v>600000</v>
      </c>
      <c r="AG33" s="194"/>
      <c r="AH33" s="106">
        <f>AG33+AF33</f>
        <v>600000</v>
      </c>
      <c r="AI33" s="193"/>
      <c r="AJ33" s="106">
        <f>AI33+AH33</f>
        <v>600000</v>
      </c>
      <c r="AK33" s="193"/>
      <c r="AL33" s="106">
        <f>AK33+AJ33</f>
        <v>600000</v>
      </c>
      <c r="AM33" s="193"/>
      <c r="AN33" s="106">
        <f>AM33+AL33</f>
        <v>600000</v>
      </c>
      <c r="AO33" s="106">
        <v>730000</v>
      </c>
      <c r="AP33" s="113">
        <v>600000</v>
      </c>
      <c r="AQ33" s="248">
        <v>100000</v>
      </c>
      <c r="AR33" s="277"/>
      <c r="AS33" s="244">
        <f t="shared" si="14"/>
        <v>100000</v>
      </c>
      <c r="AT33" s="158"/>
      <c r="AU33" s="103"/>
      <c r="AV33" s="103"/>
      <c r="AW33" s="128"/>
      <c r="AX33" s="129"/>
      <c r="AY33" s="101"/>
      <c r="AZ33" s="101"/>
    </row>
    <row r="34" spans="1:52" ht="12.75" hidden="1">
      <c r="A34" s="31">
        <v>60016</v>
      </c>
      <c r="B34" s="26"/>
      <c r="C34" s="19" t="s">
        <v>23</v>
      </c>
      <c r="D34" s="190">
        <f aca="true" t="shared" si="23" ref="D34:L34">SUM(D37:D44)</f>
        <v>5530719</v>
      </c>
      <c r="E34" s="190">
        <f t="shared" si="23"/>
        <v>0</v>
      </c>
      <c r="F34" s="190">
        <f t="shared" si="23"/>
        <v>5530719</v>
      </c>
      <c r="G34" s="190">
        <f t="shared" si="23"/>
        <v>0</v>
      </c>
      <c r="H34" s="190">
        <f t="shared" si="23"/>
        <v>5530719</v>
      </c>
      <c r="I34" s="190">
        <f>SUM(I37:I44)</f>
        <v>0</v>
      </c>
      <c r="J34" s="190">
        <f>SUM(J37:J44)</f>
        <v>5530719</v>
      </c>
      <c r="K34" s="190">
        <f t="shared" si="23"/>
        <v>0</v>
      </c>
      <c r="L34" s="190">
        <f t="shared" si="23"/>
        <v>5530719</v>
      </c>
      <c r="M34" s="190">
        <f>SUM(M36:M44)</f>
        <v>-845000</v>
      </c>
      <c r="N34" s="190">
        <f>SUM(N36:N44)</f>
        <v>4685719</v>
      </c>
      <c r="O34" s="190"/>
      <c r="P34" s="190">
        <f>SUM(P36:P44)</f>
        <v>4685719</v>
      </c>
      <c r="Q34" s="190">
        <f>SUM(Q36:Q44)</f>
        <v>-150000</v>
      </c>
      <c r="R34" s="190">
        <f>SUM(R36:R44)</f>
        <v>4535719</v>
      </c>
      <c r="S34" s="190">
        <f aca="true" t="shared" si="24" ref="S34:X34">SUM(S35:S44)</f>
        <v>0</v>
      </c>
      <c r="T34" s="190">
        <f t="shared" si="24"/>
        <v>4535719</v>
      </c>
      <c r="U34" s="190">
        <f t="shared" si="24"/>
        <v>270000</v>
      </c>
      <c r="V34" s="190">
        <f t="shared" si="24"/>
        <v>4805719</v>
      </c>
      <c r="W34" s="190">
        <f t="shared" si="24"/>
        <v>0</v>
      </c>
      <c r="X34" s="190">
        <f t="shared" si="24"/>
        <v>4805719</v>
      </c>
      <c r="Y34" s="190">
        <f aca="true" t="shared" si="25" ref="Y34:AD34">SUM(Y35:Y44)</f>
        <v>0</v>
      </c>
      <c r="Z34" s="190">
        <f t="shared" si="25"/>
        <v>4805719</v>
      </c>
      <c r="AA34" s="190">
        <f t="shared" si="25"/>
        <v>-30000</v>
      </c>
      <c r="AB34" s="190">
        <f t="shared" si="25"/>
        <v>4775719</v>
      </c>
      <c r="AC34" s="190">
        <f t="shared" si="25"/>
        <v>0</v>
      </c>
      <c r="AD34" s="190">
        <f t="shared" si="25"/>
        <v>4775719</v>
      </c>
      <c r="AE34" s="190">
        <f aca="true" t="shared" si="26" ref="AE34:AJ34">SUM(AE35:AE44)</f>
        <v>0</v>
      </c>
      <c r="AF34" s="190">
        <f t="shared" si="26"/>
        <v>4775719</v>
      </c>
      <c r="AG34" s="191">
        <f t="shared" si="26"/>
        <v>0</v>
      </c>
      <c r="AH34" s="190">
        <f t="shared" si="26"/>
        <v>4775719</v>
      </c>
      <c r="AI34" s="190">
        <f t="shared" si="26"/>
        <v>0</v>
      </c>
      <c r="AJ34" s="190">
        <f t="shared" si="26"/>
        <v>4775719</v>
      </c>
      <c r="AK34" s="190">
        <f aca="true" t="shared" si="27" ref="AK34:AP34">SUM(AK35:AK44)</f>
        <v>-2900</v>
      </c>
      <c r="AL34" s="190">
        <f t="shared" si="27"/>
        <v>4772819</v>
      </c>
      <c r="AM34" s="190">
        <f t="shared" si="27"/>
        <v>0</v>
      </c>
      <c r="AN34" s="190">
        <f t="shared" si="27"/>
        <v>4772819</v>
      </c>
      <c r="AO34" s="190">
        <f t="shared" si="27"/>
        <v>1387410</v>
      </c>
      <c r="AP34" s="81">
        <f t="shared" si="27"/>
        <v>4067813</v>
      </c>
      <c r="AQ34" s="247">
        <f>SUM(AQ35:AQ42)</f>
        <v>2374500</v>
      </c>
      <c r="AR34" s="274"/>
      <c r="AS34" s="244">
        <f t="shared" si="14"/>
        <v>2374500</v>
      </c>
      <c r="AT34" s="158"/>
      <c r="AU34" s="103"/>
      <c r="AV34" s="103"/>
      <c r="AW34" s="126">
        <v>-200</v>
      </c>
      <c r="AX34" s="127" t="s">
        <v>153</v>
      </c>
      <c r="AY34" s="102"/>
      <c r="AZ34" s="102"/>
    </row>
    <row r="35" spans="1:52" ht="12.75" hidden="1">
      <c r="A35" s="31"/>
      <c r="B35" s="27">
        <v>4170</v>
      </c>
      <c r="C35" s="18" t="s">
        <v>42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09">
        <v>1000</v>
      </c>
      <c r="T35" s="106">
        <f aca="true" t="shared" si="28" ref="T35:T44">S35+R35</f>
        <v>1000</v>
      </c>
      <c r="U35" s="109"/>
      <c r="V35" s="106">
        <f aca="true" t="shared" si="29" ref="V35:V44">U35+T35</f>
        <v>1000</v>
      </c>
      <c r="W35" s="109"/>
      <c r="X35" s="106">
        <f aca="true" t="shared" si="30" ref="X35:X44">W35+V35</f>
        <v>1000</v>
      </c>
      <c r="Y35" s="109">
        <v>1000</v>
      </c>
      <c r="Z35" s="106">
        <f aca="true" t="shared" si="31" ref="Z35:Z44">Y35+X35</f>
        <v>2000</v>
      </c>
      <c r="AA35" s="109"/>
      <c r="AB35" s="106">
        <f aca="true" t="shared" si="32" ref="AB35:AB44">AA35+Z35</f>
        <v>2000</v>
      </c>
      <c r="AC35" s="109"/>
      <c r="AD35" s="106">
        <f aca="true" t="shared" si="33" ref="AD35:AD44">AC35+AB35</f>
        <v>2000</v>
      </c>
      <c r="AE35" s="109"/>
      <c r="AF35" s="106">
        <f aca="true" t="shared" si="34" ref="AF35:AF44">AE35+AD35</f>
        <v>2000</v>
      </c>
      <c r="AG35" s="147"/>
      <c r="AH35" s="106">
        <f aca="true" t="shared" si="35" ref="AH35:AH44">AG35+AF35</f>
        <v>2000</v>
      </c>
      <c r="AI35" s="109">
        <v>4000</v>
      </c>
      <c r="AJ35" s="106">
        <f aca="true" t="shared" si="36" ref="AJ35:AJ44">AI35+AH35</f>
        <v>6000</v>
      </c>
      <c r="AK35" s="109"/>
      <c r="AL35" s="106">
        <f aca="true" t="shared" si="37" ref="AL35:AL44">AK35+AJ35</f>
        <v>6000</v>
      </c>
      <c r="AM35" s="109"/>
      <c r="AN35" s="106">
        <f aca="true" t="shared" si="38" ref="AN35:AN44">AM35+AL35</f>
        <v>6000</v>
      </c>
      <c r="AO35" s="106">
        <v>1395</v>
      </c>
      <c r="AP35" s="113">
        <v>4238</v>
      </c>
      <c r="AQ35" s="243">
        <v>5000</v>
      </c>
      <c r="AR35" s="275"/>
      <c r="AS35" s="244">
        <f t="shared" si="14"/>
        <v>5000</v>
      </c>
      <c r="AT35" s="158"/>
      <c r="AU35" s="103"/>
      <c r="AV35" s="103"/>
      <c r="AW35" s="126">
        <v>2702</v>
      </c>
      <c r="AX35" s="127" t="s">
        <v>153</v>
      </c>
      <c r="AY35" s="102"/>
      <c r="AZ35" s="102"/>
    </row>
    <row r="36" spans="1:52" ht="12.75" hidden="1">
      <c r="A36" s="31"/>
      <c r="B36" s="27">
        <v>4210</v>
      </c>
      <c r="C36" s="18" t="s">
        <v>14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04">
        <v>50000</v>
      </c>
      <c r="N36" s="106">
        <f aca="true" t="shared" si="39" ref="N36:R44">M36+L36</f>
        <v>50000</v>
      </c>
      <c r="O36" s="106"/>
      <c r="P36" s="106">
        <f t="shared" si="39"/>
        <v>50000</v>
      </c>
      <c r="Q36" s="104"/>
      <c r="R36" s="106">
        <f t="shared" si="39"/>
        <v>50000</v>
      </c>
      <c r="S36" s="104"/>
      <c r="T36" s="106">
        <f t="shared" si="28"/>
        <v>50000</v>
      </c>
      <c r="U36" s="104"/>
      <c r="V36" s="106">
        <f t="shared" si="29"/>
        <v>50000</v>
      </c>
      <c r="W36" s="104"/>
      <c r="X36" s="106">
        <f t="shared" si="30"/>
        <v>50000</v>
      </c>
      <c r="Y36" s="104">
        <v>-1000</v>
      </c>
      <c r="Z36" s="106">
        <f t="shared" si="31"/>
        <v>49000</v>
      </c>
      <c r="AA36" s="104"/>
      <c r="AB36" s="106">
        <f t="shared" si="32"/>
        <v>49000</v>
      </c>
      <c r="AC36" s="104"/>
      <c r="AD36" s="106">
        <f t="shared" si="33"/>
        <v>49000</v>
      </c>
      <c r="AE36" s="104"/>
      <c r="AF36" s="106">
        <f t="shared" si="34"/>
        <v>49000</v>
      </c>
      <c r="AG36" s="195"/>
      <c r="AH36" s="106">
        <f t="shared" si="35"/>
        <v>49000</v>
      </c>
      <c r="AI36" s="104">
        <v>-47000</v>
      </c>
      <c r="AJ36" s="106">
        <f t="shared" si="36"/>
        <v>2000</v>
      </c>
      <c r="AK36" s="104"/>
      <c r="AL36" s="106">
        <f t="shared" si="37"/>
        <v>2000</v>
      </c>
      <c r="AM36" s="104"/>
      <c r="AN36" s="106">
        <f t="shared" si="38"/>
        <v>2000</v>
      </c>
      <c r="AO36" s="106">
        <v>1915</v>
      </c>
      <c r="AP36" s="113">
        <v>936</v>
      </c>
      <c r="AQ36" s="243">
        <v>2000</v>
      </c>
      <c r="AR36" s="275"/>
      <c r="AS36" s="244">
        <f t="shared" si="14"/>
        <v>2000</v>
      </c>
      <c r="AT36" s="158"/>
      <c r="AU36" s="103"/>
      <c r="AV36" s="103"/>
      <c r="AW36" s="142">
        <f>AW8+AW9+AW26+AW34+AW35</f>
        <v>1502</v>
      </c>
      <c r="AX36" s="127"/>
      <c r="AY36" s="102"/>
      <c r="AZ36" s="102"/>
    </row>
    <row r="37" spans="1:50" ht="12.75" hidden="1">
      <c r="A37" s="21"/>
      <c r="B37" s="27">
        <v>4270</v>
      </c>
      <c r="C37" s="18" t="s">
        <v>24</v>
      </c>
      <c r="D37" s="104">
        <v>150000</v>
      </c>
      <c r="E37" s="106"/>
      <c r="F37" s="106">
        <f aca="true" t="shared" si="40" ref="F37:F44">D37+E37</f>
        <v>150000</v>
      </c>
      <c r="G37" s="109"/>
      <c r="H37" s="106">
        <f aca="true" t="shared" si="41" ref="H37:H44">G37+F37</f>
        <v>150000</v>
      </c>
      <c r="I37" s="109"/>
      <c r="J37" s="106">
        <f aca="true" t="shared" si="42" ref="J37:J44">I37+H37</f>
        <v>150000</v>
      </c>
      <c r="K37" s="110"/>
      <c r="L37" s="106">
        <f aca="true" t="shared" si="43" ref="L37:L44">K37+H37</f>
        <v>150000</v>
      </c>
      <c r="M37" s="109">
        <v>-25000</v>
      </c>
      <c r="N37" s="106">
        <f t="shared" si="39"/>
        <v>125000</v>
      </c>
      <c r="O37" s="106"/>
      <c r="P37" s="106">
        <f t="shared" si="39"/>
        <v>125000</v>
      </c>
      <c r="Q37" s="109"/>
      <c r="R37" s="106">
        <f t="shared" si="39"/>
        <v>125000</v>
      </c>
      <c r="S37" s="109">
        <v>-1000</v>
      </c>
      <c r="T37" s="106">
        <f t="shared" si="28"/>
        <v>124000</v>
      </c>
      <c r="U37" s="109">
        <v>-20000</v>
      </c>
      <c r="V37" s="106">
        <f t="shared" si="29"/>
        <v>104000</v>
      </c>
      <c r="W37" s="109"/>
      <c r="X37" s="106">
        <f t="shared" si="30"/>
        <v>104000</v>
      </c>
      <c r="Y37" s="109"/>
      <c r="Z37" s="106">
        <f t="shared" si="31"/>
        <v>104000</v>
      </c>
      <c r="AA37" s="109">
        <v>-10000</v>
      </c>
      <c r="AB37" s="106">
        <f t="shared" si="32"/>
        <v>94000</v>
      </c>
      <c r="AC37" s="109">
        <v>-20000</v>
      </c>
      <c r="AD37" s="106">
        <f t="shared" si="33"/>
        <v>74000</v>
      </c>
      <c r="AE37" s="109"/>
      <c r="AF37" s="106">
        <f t="shared" si="34"/>
        <v>74000</v>
      </c>
      <c r="AG37" s="147"/>
      <c r="AH37" s="106">
        <f t="shared" si="35"/>
        <v>74000</v>
      </c>
      <c r="AI37" s="109"/>
      <c r="AJ37" s="106">
        <f t="shared" si="36"/>
        <v>74000</v>
      </c>
      <c r="AK37" s="109">
        <v>3000</v>
      </c>
      <c r="AL37" s="106">
        <f t="shared" si="37"/>
        <v>77000</v>
      </c>
      <c r="AM37" s="109"/>
      <c r="AN37" s="106">
        <f t="shared" si="38"/>
        <v>77000</v>
      </c>
      <c r="AO37" s="106">
        <v>288880</v>
      </c>
      <c r="AP37" s="113">
        <f>66836+1572</f>
        <v>68408</v>
      </c>
      <c r="AQ37" s="243">
        <f>90000-20000</f>
        <v>70000</v>
      </c>
      <c r="AR37" s="275"/>
      <c r="AS37" s="244">
        <f t="shared" si="14"/>
        <v>70000</v>
      </c>
      <c r="AT37" s="158"/>
      <c r="AU37" s="103"/>
      <c r="AV37" s="103"/>
      <c r="AW37" s="131"/>
      <c r="AX37" s="127" t="s">
        <v>162</v>
      </c>
    </row>
    <row r="38" spans="1:50" ht="12.75" hidden="1">
      <c r="A38" s="21"/>
      <c r="B38" s="27">
        <v>4300</v>
      </c>
      <c r="C38" s="18" t="s">
        <v>15</v>
      </c>
      <c r="D38" s="104">
        <v>119219</v>
      </c>
      <c r="E38" s="106"/>
      <c r="F38" s="106">
        <f t="shared" si="40"/>
        <v>119219</v>
      </c>
      <c r="G38" s="109">
        <v>-2300</v>
      </c>
      <c r="H38" s="106">
        <f t="shared" si="41"/>
        <v>116919</v>
      </c>
      <c r="I38" s="109"/>
      <c r="J38" s="106">
        <f t="shared" si="42"/>
        <v>116919</v>
      </c>
      <c r="K38" s="110"/>
      <c r="L38" s="106">
        <f t="shared" si="43"/>
        <v>116919</v>
      </c>
      <c r="M38" s="109">
        <v>-25000</v>
      </c>
      <c r="N38" s="106">
        <f t="shared" si="39"/>
        <v>91919</v>
      </c>
      <c r="O38" s="106">
        <v>-1200</v>
      </c>
      <c r="P38" s="106">
        <f t="shared" si="39"/>
        <v>90719</v>
      </c>
      <c r="Q38" s="109"/>
      <c r="R38" s="106">
        <f t="shared" si="39"/>
        <v>90719</v>
      </c>
      <c r="S38" s="109"/>
      <c r="T38" s="106">
        <f t="shared" si="28"/>
        <v>90719</v>
      </c>
      <c r="U38" s="109">
        <v>20000</v>
      </c>
      <c r="V38" s="106">
        <f t="shared" si="29"/>
        <v>110719</v>
      </c>
      <c r="W38" s="109"/>
      <c r="X38" s="106">
        <f t="shared" si="30"/>
        <v>110719</v>
      </c>
      <c r="Y38" s="109"/>
      <c r="Z38" s="106">
        <f t="shared" si="31"/>
        <v>110719</v>
      </c>
      <c r="AA38" s="109">
        <v>10000</v>
      </c>
      <c r="AB38" s="106">
        <f t="shared" si="32"/>
        <v>120719</v>
      </c>
      <c r="AC38" s="109">
        <v>20000</v>
      </c>
      <c r="AD38" s="106">
        <f t="shared" si="33"/>
        <v>140719</v>
      </c>
      <c r="AE38" s="109"/>
      <c r="AF38" s="106">
        <f t="shared" si="34"/>
        <v>140719</v>
      </c>
      <c r="AG38" s="196"/>
      <c r="AH38" s="106">
        <f t="shared" si="35"/>
        <v>140719</v>
      </c>
      <c r="AI38" s="172">
        <v>43000</v>
      </c>
      <c r="AJ38" s="106">
        <f t="shared" si="36"/>
        <v>183719</v>
      </c>
      <c r="AK38" s="172">
        <f>-2900-3000</f>
        <v>-5900</v>
      </c>
      <c r="AL38" s="106">
        <f t="shared" si="37"/>
        <v>177819</v>
      </c>
      <c r="AM38" s="172"/>
      <c r="AN38" s="106">
        <f t="shared" si="38"/>
        <v>177819</v>
      </c>
      <c r="AO38" s="106">
        <v>297307</v>
      </c>
      <c r="AP38" s="113">
        <f>154131+841+1319+5071+1000</f>
        <v>162362</v>
      </c>
      <c r="AQ38" s="243">
        <v>185000</v>
      </c>
      <c r="AR38" s="275"/>
      <c r="AS38" s="244">
        <f t="shared" si="14"/>
        <v>185000</v>
      </c>
      <c r="AT38" s="158"/>
      <c r="AU38" s="103"/>
      <c r="AV38" s="103"/>
      <c r="AW38" s="131"/>
      <c r="AX38" s="127" t="s">
        <v>162</v>
      </c>
    </row>
    <row r="39" spans="1:50" ht="12.75" hidden="1">
      <c r="A39" s="21"/>
      <c r="B39" s="27">
        <v>4430</v>
      </c>
      <c r="C39" s="18" t="s">
        <v>16</v>
      </c>
      <c r="D39" s="104">
        <v>1500</v>
      </c>
      <c r="E39" s="106"/>
      <c r="F39" s="106">
        <f t="shared" si="40"/>
        <v>1500</v>
      </c>
      <c r="G39" s="109">
        <v>2300</v>
      </c>
      <c r="H39" s="106">
        <f t="shared" si="41"/>
        <v>3800</v>
      </c>
      <c r="I39" s="109"/>
      <c r="J39" s="106">
        <f t="shared" si="42"/>
        <v>3800</v>
      </c>
      <c r="K39" s="110"/>
      <c r="L39" s="106">
        <f t="shared" si="43"/>
        <v>3800</v>
      </c>
      <c r="M39" s="109"/>
      <c r="N39" s="106">
        <f t="shared" si="39"/>
        <v>3800</v>
      </c>
      <c r="O39" s="106">
        <v>1200</v>
      </c>
      <c r="P39" s="106">
        <f t="shared" si="39"/>
        <v>5000</v>
      </c>
      <c r="Q39" s="109"/>
      <c r="R39" s="106">
        <f t="shared" si="39"/>
        <v>5000</v>
      </c>
      <c r="S39" s="109"/>
      <c r="T39" s="106">
        <f t="shared" si="28"/>
        <v>5000</v>
      </c>
      <c r="U39" s="109"/>
      <c r="V39" s="106">
        <f t="shared" si="29"/>
        <v>5000</v>
      </c>
      <c r="W39" s="109"/>
      <c r="X39" s="106">
        <f t="shared" si="30"/>
        <v>5000</v>
      </c>
      <c r="Y39" s="109"/>
      <c r="Z39" s="106">
        <f t="shared" si="31"/>
        <v>5000</v>
      </c>
      <c r="AA39" s="109"/>
      <c r="AB39" s="106">
        <f t="shared" si="32"/>
        <v>5000</v>
      </c>
      <c r="AC39" s="109"/>
      <c r="AD39" s="106">
        <f t="shared" si="33"/>
        <v>5000</v>
      </c>
      <c r="AE39" s="109"/>
      <c r="AF39" s="106">
        <f t="shared" si="34"/>
        <v>5000</v>
      </c>
      <c r="AG39" s="147"/>
      <c r="AH39" s="106">
        <f t="shared" si="35"/>
        <v>5000</v>
      </c>
      <c r="AI39" s="109"/>
      <c r="AJ39" s="106">
        <f t="shared" si="36"/>
        <v>5000</v>
      </c>
      <c r="AK39" s="109"/>
      <c r="AL39" s="106">
        <f t="shared" si="37"/>
        <v>5000</v>
      </c>
      <c r="AM39" s="109"/>
      <c r="AN39" s="106">
        <f t="shared" si="38"/>
        <v>5000</v>
      </c>
      <c r="AO39" s="106">
        <v>1146</v>
      </c>
      <c r="AP39" s="113">
        <v>4558</v>
      </c>
      <c r="AQ39" s="243">
        <v>5500</v>
      </c>
      <c r="AR39" s="275"/>
      <c r="AS39" s="244">
        <f t="shared" si="14"/>
        <v>5500</v>
      </c>
      <c r="AT39" s="158"/>
      <c r="AU39" s="103"/>
      <c r="AV39" s="103"/>
      <c r="AW39" s="131"/>
      <c r="AX39" s="127"/>
    </row>
    <row r="40" spans="1:50" ht="12.75" customHeight="1" hidden="1">
      <c r="A40" s="21"/>
      <c r="B40" s="27">
        <v>4590</v>
      </c>
      <c r="C40" s="18" t="s">
        <v>25</v>
      </c>
      <c r="D40" s="104">
        <v>2000</v>
      </c>
      <c r="E40" s="106"/>
      <c r="F40" s="106">
        <f t="shared" si="40"/>
        <v>2000</v>
      </c>
      <c r="G40" s="109"/>
      <c r="H40" s="106">
        <f t="shared" si="41"/>
        <v>2000</v>
      </c>
      <c r="I40" s="109"/>
      <c r="J40" s="106">
        <f t="shared" si="42"/>
        <v>2000</v>
      </c>
      <c r="K40" s="110"/>
      <c r="L40" s="106">
        <f t="shared" si="43"/>
        <v>2000</v>
      </c>
      <c r="M40" s="109"/>
      <c r="N40" s="106">
        <f t="shared" si="39"/>
        <v>2000</v>
      </c>
      <c r="O40" s="106"/>
      <c r="P40" s="106">
        <f t="shared" si="39"/>
        <v>2000</v>
      </c>
      <c r="Q40" s="109"/>
      <c r="R40" s="106">
        <f t="shared" si="39"/>
        <v>2000</v>
      </c>
      <c r="S40" s="109"/>
      <c r="T40" s="106">
        <f t="shared" si="28"/>
        <v>2000</v>
      </c>
      <c r="U40" s="109"/>
      <c r="V40" s="106">
        <f t="shared" si="29"/>
        <v>2000</v>
      </c>
      <c r="W40" s="109"/>
      <c r="X40" s="106">
        <f t="shared" si="30"/>
        <v>2000</v>
      </c>
      <c r="Y40" s="109"/>
      <c r="Z40" s="106">
        <f t="shared" si="31"/>
        <v>2000</v>
      </c>
      <c r="AA40" s="109"/>
      <c r="AB40" s="106">
        <f t="shared" si="32"/>
        <v>2000</v>
      </c>
      <c r="AC40" s="109"/>
      <c r="AD40" s="106">
        <f t="shared" si="33"/>
        <v>2000</v>
      </c>
      <c r="AE40" s="109"/>
      <c r="AF40" s="106">
        <f t="shared" si="34"/>
        <v>2000</v>
      </c>
      <c r="AG40" s="147"/>
      <c r="AH40" s="106">
        <f t="shared" si="35"/>
        <v>2000</v>
      </c>
      <c r="AI40" s="109"/>
      <c r="AJ40" s="106">
        <f t="shared" si="36"/>
        <v>2000</v>
      </c>
      <c r="AK40" s="109"/>
      <c r="AL40" s="106">
        <f t="shared" si="37"/>
        <v>2000</v>
      </c>
      <c r="AM40" s="109"/>
      <c r="AN40" s="106">
        <f t="shared" si="38"/>
        <v>2000</v>
      </c>
      <c r="AO40" s="106">
        <v>56260</v>
      </c>
      <c r="AP40" s="113">
        <v>0</v>
      </c>
      <c r="AQ40" s="243">
        <v>2000</v>
      </c>
      <c r="AR40" s="275"/>
      <c r="AS40" s="244">
        <f t="shared" si="14"/>
        <v>2000</v>
      </c>
      <c r="AT40" s="103"/>
      <c r="AU40" s="103"/>
      <c r="AV40" s="103"/>
      <c r="AW40" s="131"/>
      <c r="AX40" s="127"/>
    </row>
    <row r="41" spans="1:50" ht="12.75" hidden="1">
      <c r="A41" s="21"/>
      <c r="B41" s="27">
        <v>6050</v>
      </c>
      <c r="C41" s="18" t="s">
        <v>26</v>
      </c>
      <c r="D41" s="104">
        <v>5208000</v>
      </c>
      <c r="E41" s="106"/>
      <c r="F41" s="106">
        <f t="shared" si="40"/>
        <v>5208000</v>
      </c>
      <c r="G41" s="109"/>
      <c r="H41" s="106">
        <f t="shared" si="41"/>
        <v>5208000</v>
      </c>
      <c r="I41" s="109"/>
      <c r="J41" s="106">
        <f t="shared" si="42"/>
        <v>5208000</v>
      </c>
      <c r="K41" s="110"/>
      <c r="L41" s="106">
        <f t="shared" si="43"/>
        <v>5208000</v>
      </c>
      <c r="M41" s="109">
        <f>-700000-200000+55000</f>
        <v>-845000</v>
      </c>
      <c r="N41" s="106">
        <f t="shared" si="39"/>
        <v>4363000</v>
      </c>
      <c r="O41" s="106"/>
      <c r="P41" s="106">
        <f t="shared" si="39"/>
        <v>4363000</v>
      </c>
      <c r="Q41" s="109">
        <f>-120000-30000</f>
        <v>-150000</v>
      </c>
      <c r="R41" s="106">
        <f t="shared" si="39"/>
        <v>4213000</v>
      </c>
      <c r="S41" s="109"/>
      <c r="T41" s="106">
        <f t="shared" si="28"/>
        <v>4213000</v>
      </c>
      <c r="U41" s="109">
        <f>120000+200000</f>
        <v>320000</v>
      </c>
      <c r="V41" s="106">
        <f t="shared" si="29"/>
        <v>4533000</v>
      </c>
      <c r="W41" s="109"/>
      <c r="X41" s="106">
        <f t="shared" si="30"/>
        <v>4533000</v>
      </c>
      <c r="Y41" s="109"/>
      <c r="Z41" s="106">
        <f t="shared" si="31"/>
        <v>4533000</v>
      </c>
      <c r="AA41" s="109">
        <v>-30000</v>
      </c>
      <c r="AB41" s="106">
        <f t="shared" si="32"/>
        <v>4503000</v>
      </c>
      <c r="AC41" s="109"/>
      <c r="AD41" s="106">
        <f t="shared" si="33"/>
        <v>4503000</v>
      </c>
      <c r="AE41" s="109"/>
      <c r="AF41" s="106">
        <f t="shared" si="34"/>
        <v>4503000</v>
      </c>
      <c r="AG41" s="147"/>
      <c r="AH41" s="106">
        <f t="shared" si="35"/>
        <v>4503000</v>
      </c>
      <c r="AI41" s="109"/>
      <c r="AJ41" s="106">
        <f t="shared" si="36"/>
        <v>4503000</v>
      </c>
      <c r="AK41" s="109"/>
      <c r="AL41" s="106">
        <f t="shared" si="37"/>
        <v>4503000</v>
      </c>
      <c r="AM41" s="109"/>
      <c r="AN41" s="106">
        <f t="shared" si="38"/>
        <v>4503000</v>
      </c>
      <c r="AO41" s="106">
        <v>740507</v>
      </c>
      <c r="AP41" s="113">
        <v>3827311</v>
      </c>
      <c r="AQ41" s="243">
        <f>1555000+550000</f>
        <v>2105000</v>
      </c>
      <c r="AR41" s="275"/>
      <c r="AS41" s="244">
        <f t="shared" si="14"/>
        <v>2105000</v>
      </c>
      <c r="AT41" s="103"/>
      <c r="AU41" s="103"/>
      <c r="AV41" s="103"/>
      <c r="AW41" s="131">
        <v>-17850</v>
      </c>
      <c r="AX41" s="127" t="s">
        <v>163</v>
      </c>
    </row>
    <row r="42" spans="1:50" ht="12.75" hidden="1">
      <c r="A42" s="21"/>
      <c r="B42" s="27">
        <v>6058</v>
      </c>
      <c r="C42" s="18" t="s">
        <v>26</v>
      </c>
      <c r="D42" s="104">
        <v>0</v>
      </c>
      <c r="E42" s="106"/>
      <c r="F42" s="106">
        <f t="shared" si="40"/>
        <v>0</v>
      </c>
      <c r="G42" s="109"/>
      <c r="H42" s="106">
        <f t="shared" si="41"/>
        <v>0</v>
      </c>
      <c r="I42" s="109"/>
      <c r="J42" s="106">
        <f t="shared" si="42"/>
        <v>0</v>
      </c>
      <c r="K42" s="110"/>
      <c r="L42" s="106">
        <f t="shared" si="43"/>
        <v>0</v>
      </c>
      <c r="M42" s="109"/>
      <c r="N42" s="106">
        <f t="shared" si="39"/>
        <v>0</v>
      </c>
      <c r="O42" s="106"/>
      <c r="P42" s="106">
        <f t="shared" si="39"/>
        <v>0</v>
      </c>
      <c r="Q42" s="109"/>
      <c r="R42" s="106">
        <f t="shared" si="39"/>
        <v>0</v>
      </c>
      <c r="S42" s="109"/>
      <c r="T42" s="106">
        <f t="shared" si="28"/>
        <v>0</v>
      </c>
      <c r="U42" s="109"/>
      <c r="V42" s="106">
        <f t="shared" si="29"/>
        <v>0</v>
      </c>
      <c r="W42" s="109"/>
      <c r="X42" s="106">
        <f t="shared" si="30"/>
        <v>0</v>
      </c>
      <c r="Y42" s="109"/>
      <c r="Z42" s="106">
        <f t="shared" si="31"/>
        <v>0</v>
      </c>
      <c r="AA42" s="109"/>
      <c r="AB42" s="106">
        <f t="shared" si="32"/>
        <v>0</v>
      </c>
      <c r="AC42" s="109"/>
      <c r="AD42" s="106">
        <f t="shared" si="33"/>
        <v>0</v>
      </c>
      <c r="AE42" s="109"/>
      <c r="AF42" s="106">
        <f t="shared" si="34"/>
        <v>0</v>
      </c>
      <c r="AG42" s="147"/>
      <c r="AH42" s="106">
        <f t="shared" si="35"/>
        <v>0</v>
      </c>
      <c r="AI42" s="109"/>
      <c r="AJ42" s="106">
        <f t="shared" si="36"/>
        <v>0</v>
      </c>
      <c r="AK42" s="109"/>
      <c r="AL42" s="106">
        <f t="shared" si="37"/>
        <v>0</v>
      </c>
      <c r="AM42" s="109"/>
      <c r="AN42" s="106">
        <f t="shared" si="38"/>
        <v>0</v>
      </c>
      <c r="AO42" s="106">
        <f aca="true" t="shared" si="44" ref="AO42:AQ44">AN42+AM42</f>
        <v>0</v>
      </c>
      <c r="AP42" s="113">
        <f t="shared" si="44"/>
        <v>0</v>
      </c>
      <c r="AQ42" s="243">
        <f t="shared" si="44"/>
        <v>0</v>
      </c>
      <c r="AR42" s="275"/>
      <c r="AS42" s="244">
        <f t="shared" si="14"/>
        <v>0</v>
      </c>
      <c r="AT42" s="103"/>
      <c r="AU42" s="103"/>
      <c r="AV42" s="103"/>
      <c r="AW42" s="131"/>
      <c r="AX42" s="127"/>
    </row>
    <row r="43" spans="1:50" ht="12.75" hidden="1">
      <c r="A43" s="21">
        <v>60095</v>
      </c>
      <c r="B43" s="27"/>
      <c r="C43" s="19" t="s">
        <v>13</v>
      </c>
      <c r="D43" s="104"/>
      <c r="E43" s="106"/>
      <c r="F43" s="106"/>
      <c r="G43" s="109"/>
      <c r="H43" s="106"/>
      <c r="I43" s="109"/>
      <c r="J43" s="106"/>
      <c r="K43" s="110"/>
      <c r="L43" s="106"/>
      <c r="M43" s="109"/>
      <c r="N43" s="106"/>
      <c r="O43" s="106"/>
      <c r="P43" s="106"/>
      <c r="Q43" s="109"/>
      <c r="R43" s="106"/>
      <c r="S43" s="109"/>
      <c r="T43" s="106"/>
      <c r="U43" s="109"/>
      <c r="V43" s="106"/>
      <c r="W43" s="109"/>
      <c r="X43" s="106"/>
      <c r="Y43" s="109"/>
      <c r="Z43" s="106"/>
      <c r="AA43" s="109"/>
      <c r="AB43" s="106"/>
      <c r="AC43" s="109"/>
      <c r="AD43" s="106"/>
      <c r="AE43" s="109"/>
      <c r="AF43" s="106"/>
      <c r="AG43" s="147"/>
      <c r="AH43" s="106"/>
      <c r="AI43" s="109"/>
      <c r="AJ43" s="106"/>
      <c r="AK43" s="109"/>
      <c r="AL43" s="106"/>
      <c r="AM43" s="109"/>
      <c r="AN43" s="106"/>
      <c r="AO43" s="106"/>
      <c r="AP43" s="113"/>
      <c r="AQ43" s="247">
        <f>SUM(AQ44)</f>
        <v>20000</v>
      </c>
      <c r="AR43" s="274"/>
      <c r="AS43" s="244">
        <f t="shared" si="14"/>
        <v>20000</v>
      </c>
      <c r="AT43" s="103"/>
      <c r="AU43" s="103"/>
      <c r="AV43" s="103"/>
      <c r="AW43" s="131"/>
      <c r="AX43" s="127"/>
    </row>
    <row r="44" spans="1:50" ht="12.75" hidden="1">
      <c r="A44" s="21"/>
      <c r="B44" s="27">
        <v>6050</v>
      </c>
      <c r="C44" s="18" t="s">
        <v>26</v>
      </c>
      <c r="D44" s="104">
        <v>50000</v>
      </c>
      <c r="E44" s="106"/>
      <c r="F44" s="106">
        <f t="shared" si="40"/>
        <v>50000</v>
      </c>
      <c r="G44" s="109"/>
      <c r="H44" s="106">
        <f t="shared" si="41"/>
        <v>50000</v>
      </c>
      <c r="I44" s="109"/>
      <c r="J44" s="106">
        <f t="shared" si="42"/>
        <v>50000</v>
      </c>
      <c r="K44" s="110"/>
      <c r="L44" s="106">
        <f t="shared" si="43"/>
        <v>50000</v>
      </c>
      <c r="M44" s="109"/>
      <c r="N44" s="106">
        <f t="shared" si="39"/>
        <v>50000</v>
      </c>
      <c r="O44" s="106"/>
      <c r="P44" s="106">
        <f t="shared" si="39"/>
        <v>50000</v>
      </c>
      <c r="Q44" s="109"/>
      <c r="R44" s="106">
        <f t="shared" si="39"/>
        <v>50000</v>
      </c>
      <c r="S44" s="109"/>
      <c r="T44" s="106">
        <f t="shared" si="28"/>
        <v>50000</v>
      </c>
      <c r="U44" s="109">
        <v>-50000</v>
      </c>
      <c r="V44" s="106">
        <f t="shared" si="29"/>
        <v>0</v>
      </c>
      <c r="W44" s="109"/>
      <c r="X44" s="106">
        <f t="shared" si="30"/>
        <v>0</v>
      </c>
      <c r="Y44" s="109"/>
      <c r="Z44" s="106">
        <f t="shared" si="31"/>
        <v>0</v>
      </c>
      <c r="AA44" s="109"/>
      <c r="AB44" s="106">
        <f t="shared" si="32"/>
        <v>0</v>
      </c>
      <c r="AC44" s="109"/>
      <c r="AD44" s="106">
        <f t="shared" si="33"/>
        <v>0</v>
      </c>
      <c r="AE44" s="109"/>
      <c r="AF44" s="106">
        <f t="shared" si="34"/>
        <v>0</v>
      </c>
      <c r="AG44" s="147"/>
      <c r="AH44" s="106">
        <f t="shared" si="35"/>
        <v>0</v>
      </c>
      <c r="AI44" s="109"/>
      <c r="AJ44" s="106">
        <f t="shared" si="36"/>
        <v>0</v>
      </c>
      <c r="AK44" s="109"/>
      <c r="AL44" s="106">
        <f t="shared" si="37"/>
        <v>0</v>
      </c>
      <c r="AM44" s="109"/>
      <c r="AN44" s="106">
        <f t="shared" si="38"/>
        <v>0</v>
      </c>
      <c r="AO44" s="106">
        <f t="shared" si="44"/>
        <v>0</v>
      </c>
      <c r="AP44" s="113">
        <f t="shared" si="44"/>
        <v>0</v>
      </c>
      <c r="AQ44" s="243">
        <v>20000</v>
      </c>
      <c r="AR44" s="275"/>
      <c r="AS44" s="244">
        <f t="shared" si="14"/>
        <v>20000</v>
      </c>
      <c r="AT44" s="103"/>
      <c r="AU44" s="103"/>
      <c r="AV44" s="103"/>
      <c r="AW44" s="131"/>
      <c r="AX44" s="127"/>
    </row>
    <row r="45" spans="1:50" ht="12.75" hidden="1">
      <c r="A45" s="218">
        <v>630</v>
      </c>
      <c r="B45" s="187"/>
      <c r="C45" s="188" t="s">
        <v>161</v>
      </c>
      <c r="D45" s="189">
        <f aca="true" t="shared" si="45" ref="D45:T45">SUM(D46)</f>
        <v>0</v>
      </c>
      <c r="E45" s="189">
        <f t="shared" si="45"/>
        <v>0</v>
      </c>
      <c r="F45" s="189">
        <f t="shared" si="45"/>
        <v>0</v>
      </c>
      <c r="G45" s="189">
        <f t="shared" si="45"/>
        <v>0</v>
      </c>
      <c r="H45" s="189">
        <f t="shared" si="45"/>
        <v>0</v>
      </c>
      <c r="I45" s="189">
        <f t="shared" si="45"/>
        <v>0</v>
      </c>
      <c r="J45" s="189">
        <f t="shared" si="45"/>
        <v>0</v>
      </c>
      <c r="K45" s="189">
        <f t="shared" si="45"/>
        <v>0</v>
      </c>
      <c r="L45" s="189">
        <f t="shared" si="45"/>
        <v>0</v>
      </c>
      <c r="M45" s="189">
        <f t="shared" si="45"/>
        <v>0</v>
      </c>
      <c r="N45" s="189">
        <f t="shared" si="45"/>
        <v>0</v>
      </c>
      <c r="O45" s="189">
        <f t="shared" si="45"/>
        <v>0</v>
      </c>
      <c r="P45" s="189">
        <f t="shared" si="45"/>
        <v>0</v>
      </c>
      <c r="Q45" s="189">
        <f t="shared" si="45"/>
        <v>0</v>
      </c>
      <c r="R45" s="189">
        <f t="shared" si="45"/>
        <v>0</v>
      </c>
      <c r="S45" s="189">
        <f t="shared" si="45"/>
        <v>0</v>
      </c>
      <c r="T45" s="189">
        <f t="shared" si="45"/>
        <v>0</v>
      </c>
      <c r="U45" s="189">
        <f aca="true" t="shared" si="46" ref="U45:AQ45">SUM(U46)</f>
        <v>5000</v>
      </c>
      <c r="V45" s="189">
        <f t="shared" si="46"/>
        <v>5000</v>
      </c>
      <c r="W45" s="189">
        <f t="shared" si="46"/>
        <v>0</v>
      </c>
      <c r="X45" s="189">
        <f t="shared" si="46"/>
        <v>5000</v>
      </c>
      <c r="Y45" s="189">
        <f t="shared" si="46"/>
        <v>0</v>
      </c>
      <c r="Z45" s="189">
        <f t="shared" si="46"/>
        <v>5000</v>
      </c>
      <c r="AA45" s="189">
        <f t="shared" si="46"/>
        <v>0</v>
      </c>
      <c r="AB45" s="189">
        <f t="shared" si="46"/>
        <v>5000</v>
      </c>
      <c r="AC45" s="189">
        <f t="shared" si="46"/>
        <v>0</v>
      </c>
      <c r="AD45" s="189">
        <f t="shared" si="46"/>
        <v>5000</v>
      </c>
      <c r="AE45" s="189">
        <f t="shared" si="46"/>
        <v>0</v>
      </c>
      <c r="AF45" s="189">
        <f t="shared" si="46"/>
        <v>5000</v>
      </c>
      <c r="AG45" s="197">
        <f t="shared" si="46"/>
        <v>0</v>
      </c>
      <c r="AH45" s="189">
        <f t="shared" si="46"/>
        <v>5000</v>
      </c>
      <c r="AI45" s="189">
        <f t="shared" si="46"/>
        <v>0</v>
      </c>
      <c r="AJ45" s="189">
        <f t="shared" si="46"/>
        <v>5000</v>
      </c>
      <c r="AK45" s="189">
        <f t="shared" si="46"/>
        <v>0</v>
      </c>
      <c r="AL45" s="189">
        <f t="shared" si="46"/>
        <v>5000</v>
      </c>
      <c r="AM45" s="189">
        <f t="shared" si="46"/>
        <v>431</v>
      </c>
      <c r="AN45" s="189">
        <f t="shared" si="46"/>
        <v>5431</v>
      </c>
      <c r="AO45" s="189">
        <f t="shared" si="46"/>
        <v>0</v>
      </c>
      <c r="AP45" s="221">
        <f t="shared" si="46"/>
        <v>5431</v>
      </c>
      <c r="AQ45" s="249">
        <f t="shared" si="46"/>
        <v>1800</v>
      </c>
      <c r="AR45" s="276"/>
      <c r="AS45" s="244">
        <f t="shared" si="14"/>
        <v>1800</v>
      </c>
      <c r="AT45" s="103"/>
      <c r="AU45" s="103"/>
      <c r="AV45" s="103"/>
      <c r="AW45" s="131"/>
      <c r="AX45" s="127" t="s">
        <v>162</v>
      </c>
    </row>
    <row r="46" spans="1:50" ht="12.75" hidden="1">
      <c r="A46" s="31">
        <v>63095</v>
      </c>
      <c r="B46" s="26"/>
      <c r="C46" s="19" t="s">
        <v>13</v>
      </c>
      <c r="D46" s="190">
        <f aca="true" t="shared" si="47" ref="D46:T46">D47</f>
        <v>0</v>
      </c>
      <c r="E46" s="190">
        <f t="shared" si="47"/>
        <v>0</v>
      </c>
      <c r="F46" s="190">
        <f t="shared" si="47"/>
        <v>0</v>
      </c>
      <c r="G46" s="190">
        <f t="shared" si="47"/>
        <v>0</v>
      </c>
      <c r="H46" s="190">
        <f t="shared" si="47"/>
        <v>0</v>
      </c>
      <c r="I46" s="190">
        <f t="shared" si="47"/>
        <v>0</v>
      </c>
      <c r="J46" s="190">
        <f t="shared" si="47"/>
        <v>0</v>
      </c>
      <c r="K46" s="190">
        <f t="shared" si="47"/>
        <v>0</v>
      </c>
      <c r="L46" s="190">
        <f t="shared" si="47"/>
        <v>0</v>
      </c>
      <c r="M46" s="190">
        <f t="shared" si="47"/>
        <v>0</v>
      </c>
      <c r="N46" s="190">
        <f t="shared" si="47"/>
        <v>0</v>
      </c>
      <c r="O46" s="190">
        <f t="shared" si="47"/>
        <v>0</v>
      </c>
      <c r="P46" s="190">
        <f t="shared" si="47"/>
        <v>0</v>
      </c>
      <c r="Q46" s="190">
        <f t="shared" si="47"/>
        <v>0</v>
      </c>
      <c r="R46" s="190">
        <f t="shared" si="47"/>
        <v>0</v>
      </c>
      <c r="S46" s="190">
        <f t="shared" si="47"/>
        <v>0</v>
      </c>
      <c r="T46" s="190">
        <f t="shared" si="47"/>
        <v>0</v>
      </c>
      <c r="U46" s="190">
        <f aca="true" t="shared" si="48" ref="U46:AQ46">U47</f>
        <v>5000</v>
      </c>
      <c r="V46" s="190">
        <f t="shared" si="48"/>
        <v>5000</v>
      </c>
      <c r="W46" s="190">
        <f t="shared" si="48"/>
        <v>0</v>
      </c>
      <c r="X46" s="190">
        <f t="shared" si="48"/>
        <v>5000</v>
      </c>
      <c r="Y46" s="190">
        <f t="shared" si="48"/>
        <v>0</v>
      </c>
      <c r="Z46" s="190">
        <f t="shared" si="48"/>
        <v>5000</v>
      </c>
      <c r="AA46" s="190">
        <f t="shared" si="48"/>
        <v>0</v>
      </c>
      <c r="AB46" s="190">
        <f t="shared" si="48"/>
        <v>5000</v>
      </c>
      <c r="AC46" s="190">
        <f t="shared" si="48"/>
        <v>0</v>
      </c>
      <c r="AD46" s="190">
        <f t="shared" si="48"/>
        <v>5000</v>
      </c>
      <c r="AE46" s="190">
        <f t="shared" si="48"/>
        <v>0</v>
      </c>
      <c r="AF46" s="190">
        <f t="shared" si="48"/>
        <v>5000</v>
      </c>
      <c r="AG46" s="191">
        <f t="shared" si="48"/>
        <v>0</v>
      </c>
      <c r="AH46" s="190">
        <f t="shared" si="48"/>
        <v>5000</v>
      </c>
      <c r="AI46" s="190">
        <f t="shared" si="48"/>
        <v>0</v>
      </c>
      <c r="AJ46" s="190">
        <f t="shared" si="48"/>
        <v>5000</v>
      </c>
      <c r="AK46" s="190">
        <f t="shared" si="48"/>
        <v>0</v>
      </c>
      <c r="AL46" s="190">
        <f t="shared" si="48"/>
        <v>5000</v>
      </c>
      <c r="AM46" s="190">
        <f t="shared" si="48"/>
        <v>431</v>
      </c>
      <c r="AN46" s="190">
        <f t="shared" si="48"/>
        <v>5431</v>
      </c>
      <c r="AO46" s="190">
        <f t="shared" si="48"/>
        <v>0</v>
      </c>
      <c r="AP46" s="81">
        <f t="shared" si="48"/>
        <v>5431</v>
      </c>
      <c r="AQ46" s="247">
        <f t="shared" si="48"/>
        <v>1800</v>
      </c>
      <c r="AR46" s="274"/>
      <c r="AS46" s="244">
        <f t="shared" si="14"/>
        <v>1800</v>
      </c>
      <c r="AT46" s="103"/>
      <c r="AU46" s="103"/>
      <c r="AV46" s="103"/>
      <c r="AW46" s="131"/>
      <c r="AX46" s="127" t="s">
        <v>163</v>
      </c>
    </row>
    <row r="47" spans="1:50" ht="12.75" hidden="1">
      <c r="A47" s="21"/>
      <c r="B47" s="27">
        <v>4430</v>
      </c>
      <c r="C47" s="18" t="s">
        <v>16</v>
      </c>
      <c r="D47" s="104">
        <v>0</v>
      </c>
      <c r="E47" s="106"/>
      <c r="F47" s="106"/>
      <c r="G47" s="109"/>
      <c r="H47" s="106"/>
      <c r="I47" s="109"/>
      <c r="J47" s="106"/>
      <c r="K47" s="110"/>
      <c r="L47" s="106"/>
      <c r="M47" s="109"/>
      <c r="N47" s="106"/>
      <c r="O47" s="106"/>
      <c r="P47" s="106"/>
      <c r="Q47" s="109"/>
      <c r="R47" s="106"/>
      <c r="S47" s="109"/>
      <c r="T47" s="106"/>
      <c r="U47" s="109">
        <v>5000</v>
      </c>
      <c r="V47" s="106">
        <f>U47+T47</f>
        <v>5000</v>
      </c>
      <c r="W47" s="109"/>
      <c r="X47" s="106">
        <f>W47+V47</f>
        <v>5000</v>
      </c>
      <c r="Y47" s="109"/>
      <c r="Z47" s="106">
        <f>Y47+X47</f>
        <v>5000</v>
      </c>
      <c r="AA47" s="109"/>
      <c r="AB47" s="106">
        <f>AA47+Z47</f>
        <v>5000</v>
      </c>
      <c r="AC47" s="109"/>
      <c r="AD47" s="106">
        <f>AC47+AB47</f>
        <v>5000</v>
      </c>
      <c r="AE47" s="109"/>
      <c r="AF47" s="106">
        <f>AE47+AD47</f>
        <v>5000</v>
      </c>
      <c r="AG47" s="147"/>
      <c r="AH47" s="106">
        <f>AG47+AF47</f>
        <v>5000</v>
      </c>
      <c r="AI47" s="109"/>
      <c r="AJ47" s="106">
        <f>AI47+AH47</f>
        <v>5000</v>
      </c>
      <c r="AK47" s="109"/>
      <c r="AL47" s="106">
        <f>AK47+AJ47</f>
        <v>5000</v>
      </c>
      <c r="AM47" s="109">
        <v>431</v>
      </c>
      <c r="AN47" s="106">
        <f>AM47+AL47</f>
        <v>5431</v>
      </c>
      <c r="AO47" s="106">
        <v>0</v>
      </c>
      <c r="AP47" s="113">
        <f>AO47+AN47</f>
        <v>5431</v>
      </c>
      <c r="AQ47" s="243">
        <v>1800</v>
      </c>
      <c r="AR47" s="275"/>
      <c r="AS47" s="244">
        <f t="shared" si="14"/>
        <v>1800</v>
      </c>
      <c r="AT47" s="103"/>
      <c r="AU47" s="103"/>
      <c r="AV47" s="103"/>
      <c r="AW47" s="131"/>
      <c r="AX47" s="127" t="s">
        <v>162</v>
      </c>
    </row>
    <row r="48" spans="1:50" ht="12.75" hidden="1">
      <c r="A48" s="218">
        <v>700</v>
      </c>
      <c r="B48" s="187"/>
      <c r="C48" s="188" t="s">
        <v>27</v>
      </c>
      <c r="D48" s="189">
        <f aca="true" t="shared" si="49" ref="D48:AQ48">SUM(D49,D57)</f>
        <v>484000</v>
      </c>
      <c r="E48" s="189">
        <f t="shared" si="49"/>
        <v>0</v>
      </c>
      <c r="F48" s="189">
        <f t="shared" si="49"/>
        <v>484000</v>
      </c>
      <c r="G48" s="189">
        <f t="shared" si="49"/>
        <v>0</v>
      </c>
      <c r="H48" s="189">
        <f t="shared" si="49"/>
        <v>484000</v>
      </c>
      <c r="I48" s="189">
        <f t="shared" si="49"/>
        <v>0</v>
      </c>
      <c r="J48" s="189">
        <f t="shared" si="49"/>
        <v>484000</v>
      </c>
      <c r="K48" s="189">
        <f t="shared" si="49"/>
        <v>0</v>
      </c>
      <c r="L48" s="189">
        <f t="shared" si="49"/>
        <v>484000</v>
      </c>
      <c r="M48" s="189">
        <f t="shared" si="49"/>
        <v>0</v>
      </c>
      <c r="N48" s="189">
        <f t="shared" si="49"/>
        <v>484000</v>
      </c>
      <c r="O48" s="189">
        <f t="shared" si="49"/>
        <v>0</v>
      </c>
      <c r="P48" s="189">
        <f t="shared" si="49"/>
        <v>484000</v>
      </c>
      <c r="Q48" s="189">
        <f t="shared" si="49"/>
        <v>0</v>
      </c>
      <c r="R48" s="189">
        <f t="shared" si="49"/>
        <v>484000</v>
      </c>
      <c r="S48" s="189">
        <f t="shared" si="49"/>
        <v>0</v>
      </c>
      <c r="T48" s="189">
        <f t="shared" si="49"/>
        <v>484000</v>
      </c>
      <c r="U48" s="189">
        <f t="shared" si="49"/>
        <v>40000</v>
      </c>
      <c r="V48" s="189">
        <f t="shared" si="49"/>
        <v>524000</v>
      </c>
      <c r="W48" s="189">
        <f t="shared" si="49"/>
        <v>0</v>
      </c>
      <c r="X48" s="189">
        <f t="shared" si="49"/>
        <v>524000</v>
      </c>
      <c r="Y48" s="189">
        <f t="shared" si="49"/>
        <v>0</v>
      </c>
      <c r="Z48" s="189">
        <f t="shared" si="49"/>
        <v>524000</v>
      </c>
      <c r="AA48" s="189">
        <f t="shared" si="49"/>
        <v>30000</v>
      </c>
      <c r="AB48" s="189">
        <f t="shared" si="49"/>
        <v>554000</v>
      </c>
      <c r="AC48" s="189">
        <f t="shared" si="49"/>
        <v>0</v>
      </c>
      <c r="AD48" s="189">
        <f t="shared" si="49"/>
        <v>554000</v>
      </c>
      <c r="AE48" s="189">
        <f t="shared" si="49"/>
        <v>0</v>
      </c>
      <c r="AF48" s="189">
        <f t="shared" si="49"/>
        <v>554000</v>
      </c>
      <c r="AG48" s="189">
        <f t="shared" si="49"/>
        <v>-86375</v>
      </c>
      <c r="AH48" s="189">
        <f t="shared" si="49"/>
        <v>467625</v>
      </c>
      <c r="AI48" s="189">
        <f t="shared" si="49"/>
        <v>0</v>
      </c>
      <c r="AJ48" s="189">
        <f t="shared" si="49"/>
        <v>467625</v>
      </c>
      <c r="AK48" s="189">
        <f t="shared" si="49"/>
        <v>-5000</v>
      </c>
      <c r="AL48" s="189">
        <f t="shared" si="49"/>
        <v>462625</v>
      </c>
      <c r="AM48" s="189">
        <f t="shared" si="49"/>
        <v>0</v>
      </c>
      <c r="AN48" s="189">
        <f t="shared" si="49"/>
        <v>462625</v>
      </c>
      <c r="AO48" s="189">
        <f t="shared" si="49"/>
        <v>115982</v>
      </c>
      <c r="AP48" s="221">
        <f t="shared" si="49"/>
        <v>295443</v>
      </c>
      <c r="AQ48" s="249">
        <f t="shared" si="49"/>
        <v>219200</v>
      </c>
      <c r="AR48" s="276"/>
      <c r="AS48" s="244">
        <f t="shared" si="14"/>
        <v>219200</v>
      </c>
      <c r="AT48" s="158"/>
      <c r="AU48" s="103"/>
      <c r="AV48" s="103"/>
      <c r="AW48" s="131">
        <v>11951</v>
      </c>
      <c r="AX48" s="127" t="s">
        <v>163</v>
      </c>
    </row>
    <row r="49" spans="1:50" ht="12.75" hidden="1">
      <c r="A49" s="31">
        <v>70005</v>
      </c>
      <c r="B49" s="26"/>
      <c r="C49" s="19" t="s">
        <v>28</v>
      </c>
      <c r="D49" s="190">
        <f aca="true" t="shared" si="50" ref="D49:L49">SUM(D51:D54)</f>
        <v>434000</v>
      </c>
      <c r="E49" s="190">
        <f t="shared" si="50"/>
        <v>0</v>
      </c>
      <c r="F49" s="190">
        <f t="shared" si="50"/>
        <v>434000</v>
      </c>
      <c r="G49" s="190">
        <f t="shared" si="50"/>
        <v>0</v>
      </c>
      <c r="H49" s="190">
        <f t="shared" si="50"/>
        <v>434000</v>
      </c>
      <c r="I49" s="190">
        <f>SUM(I51:I54)</f>
        <v>0</v>
      </c>
      <c r="J49" s="190">
        <f>SUM(J51:J54)</f>
        <v>434000</v>
      </c>
      <c r="K49" s="190">
        <f t="shared" si="50"/>
        <v>0</v>
      </c>
      <c r="L49" s="190">
        <f t="shared" si="50"/>
        <v>434000</v>
      </c>
      <c r="M49" s="190">
        <f>SUM(M51:M54)</f>
        <v>0</v>
      </c>
      <c r="N49" s="190">
        <f>SUM(N51:N54)</f>
        <v>434000</v>
      </c>
      <c r="O49" s="190"/>
      <c r="P49" s="190">
        <f>SUM(P51:P54)</f>
        <v>434000</v>
      </c>
      <c r="Q49" s="190">
        <f>SUM(Q51:Q54)</f>
        <v>0</v>
      </c>
      <c r="R49" s="190">
        <f>SUM(R51:R54)</f>
        <v>434000</v>
      </c>
      <c r="S49" s="190">
        <f>SUM(S51:S54)</f>
        <v>0</v>
      </c>
      <c r="T49" s="190">
        <f>SUM(T51:T54)</f>
        <v>434000</v>
      </c>
      <c r="U49" s="190">
        <f aca="true" t="shared" si="51" ref="U49:Z49">SUM(U51:U55)</f>
        <v>41500</v>
      </c>
      <c r="V49" s="190">
        <f t="shared" si="51"/>
        <v>475500</v>
      </c>
      <c r="W49" s="190">
        <f t="shared" si="51"/>
        <v>0</v>
      </c>
      <c r="X49" s="190">
        <f t="shared" si="51"/>
        <v>475500</v>
      </c>
      <c r="Y49" s="190">
        <f t="shared" si="51"/>
        <v>0</v>
      </c>
      <c r="Z49" s="190">
        <f t="shared" si="51"/>
        <v>475500</v>
      </c>
      <c r="AA49" s="190">
        <f aca="true" t="shared" si="52" ref="AA49:AF49">SUM(AA50:AA56)</f>
        <v>30000</v>
      </c>
      <c r="AB49" s="190">
        <f t="shared" si="52"/>
        <v>505500</v>
      </c>
      <c r="AC49" s="190">
        <f t="shared" si="52"/>
        <v>0</v>
      </c>
      <c r="AD49" s="190">
        <f t="shared" si="52"/>
        <v>505500</v>
      </c>
      <c r="AE49" s="190">
        <f t="shared" si="52"/>
        <v>0</v>
      </c>
      <c r="AF49" s="190">
        <f t="shared" si="52"/>
        <v>505500</v>
      </c>
      <c r="AG49" s="191">
        <f aca="true" t="shared" si="53" ref="AG49:AL49">SUM(AG50:AG56)</f>
        <v>-56375</v>
      </c>
      <c r="AH49" s="190">
        <f t="shared" si="53"/>
        <v>449125</v>
      </c>
      <c r="AI49" s="190">
        <f t="shared" si="53"/>
        <v>0</v>
      </c>
      <c r="AJ49" s="190">
        <f t="shared" si="53"/>
        <v>449125</v>
      </c>
      <c r="AK49" s="190">
        <f t="shared" si="53"/>
        <v>0</v>
      </c>
      <c r="AL49" s="190">
        <f t="shared" si="53"/>
        <v>449125</v>
      </c>
      <c r="AM49" s="190">
        <f>SUM(AM50:AM56)</f>
        <v>0</v>
      </c>
      <c r="AN49" s="190">
        <f>SUM(AN50:AN56)</f>
        <v>449125</v>
      </c>
      <c r="AO49" s="190">
        <f>SUM(AO50:AO56)</f>
        <v>103286</v>
      </c>
      <c r="AP49" s="81">
        <f>SUM(AP50:AP56)</f>
        <v>293742</v>
      </c>
      <c r="AQ49" s="247">
        <f>SUM(AQ50:AQ56)</f>
        <v>209200</v>
      </c>
      <c r="AR49" s="274"/>
      <c r="AS49" s="244">
        <f t="shared" si="14"/>
        <v>209200</v>
      </c>
      <c r="AT49" s="158"/>
      <c r="AU49" s="103"/>
      <c r="AV49" s="103"/>
      <c r="AW49" s="131"/>
      <c r="AX49" s="127" t="s">
        <v>164</v>
      </c>
    </row>
    <row r="50" spans="1:50" ht="12.75" hidden="1">
      <c r="A50" s="31"/>
      <c r="B50" s="27">
        <v>4170</v>
      </c>
      <c r="C50" s="18" t="s">
        <v>42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04">
        <v>500</v>
      </c>
      <c r="AB50" s="106">
        <f aca="true" t="shared" si="54" ref="AB50:AB56">AA50+Z50</f>
        <v>500</v>
      </c>
      <c r="AC50" s="104"/>
      <c r="AD50" s="106">
        <f aca="true" t="shared" si="55" ref="AD50:AD56">AC50+AB50</f>
        <v>500</v>
      </c>
      <c r="AE50" s="104"/>
      <c r="AF50" s="106">
        <f aca="true" t="shared" si="56" ref="AF50:AF56">AE50+AD50</f>
        <v>500</v>
      </c>
      <c r="AG50" s="195"/>
      <c r="AH50" s="106">
        <f aca="true" t="shared" si="57" ref="AH50:AH56">AG50+AF50</f>
        <v>500</v>
      </c>
      <c r="AI50" s="104"/>
      <c r="AJ50" s="106">
        <f aca="true" t="shared" si="58" ref="AJ50:AJ56">AI50+AH50</f>
        <v>500</v>
      </c>
      <c r="AK50" s="104"/>
      <c r="AL50" s="106">
        <f aca="true" t="shared" si="59" ref="AL50:AL56">AK50+AJ50</f>
        <v>500</v>
      </c>
      <c r="AM50" s="104"/>
      <c r="AN50" s="106">
        <f aca="true" t="shared" si="60" ref="AN50:AN56">AM50+AL50</f>
        <v>500</v>
      </c>
      <c r="AO50" s="106">
        <v>0</v>
      </c>
      <c r="AP50" s="113">
        <f>AO50+AN50</f>
        <v>500</v>
      </c>
      <c r="AQ50" s="243">
        <v>700</v>
      </c>
      <c r="AR50" s="275"/>
      <c r="AS50" s="244">
        <f t="shared" si="14"/>
        <v>700</v>
      </c>
      <c r="AT50" s="158"/>
      <c r="AU50" s="103"/>
      <c r="AV50" s="103"/>
      <c r="AW50" s="131">
        <f>AW8+AW9+AW26+AW34+AW41+AW48</f>
        <v>-7099</v>
      </c>
      <c r="AX50" s="127"/>
    </row>
    <row r="51" spans="1:50" ht="12.75" hidden="1">
      <c r="A51" s="31"/>
      <c r="B51" s="27">
        <v>4260</v>
      </c>
      <c r="C51" s="18" t="s">
        <v>43</v>
      </c>
      <c r="D51" s="104">
        <v>1000</v>
      </c>
      <c r="E51" s="106"/>
      <c r="F51" s="106">
        <f>D51+E51</f>
        <v>1000</v>
      </c>
      <c r="G51" s="109"/>
      <c r="H51" s="106">
        <f>G51+F51</f>
        <v>1000</v>
      </c>
      <c r="I51" s="109"/>
      <c r="J51" s="106">
        <f>I51+H51</f>
        <v>1000</v>
      </c>
      <c r="K51" s="110"/>
      <c r="L51" s="106">
        <f>K51+H51</f>
        <v>1000</v>
      </c>
      <c r="M51" s="109"/>
      <c r="N51" s="106">
        <f>M51+L51</f>
        <v>1000</v>
      </c>
      <c r="O51" s="106"/>
      <c r="P51" s="106">
        <f>O51+N51</f>
        <v>1000</v>
      </c>
      <c r="Q51" s="109"/>
      <c r="R51" s="106">
        <f>Q51+P51</f>
        <v>1000</v>
      </c>
      <c r="S51" s="109"/>
      <c r="T51" s="106">
        <f>S51+R51</f>
        <v>1000</v>
      </c>
      <c r="U51" s="109">
        <v>10000</v>
      </c>
      <c r="V51" s="106">
        <f>U51+T51</f>
        <v>11000</v>
      </c>
      <c r="W51" s="109"/>
      <c r="X51" s="106">
        <f>W51+V51</f>
        <v>11000</v>
      </c>
      <c r="Y51" s="109"/>
      <c r="Z51" s="106">
        <f>Y51+X51</f>
        <v>11000</v>
      </c>
      <c r="AA51" s="109"/>
      <c r="AB51" s="106">
        <f t="shared" si="54"/>
        <v>11000</v>
      </c>
      <c r="AC51" s="109"/>
      <c r="AD51" s="106">
        <f t="shared" si="55"/>
        <v>11000</v>
      </c>
      <c r="AE51" s="109"/>
      <c r="AF51" s="106">
        <f t="shared" si="56"/>
        <v>11000</v>
      </c>
      <c r="AG51" s="147"/>
      <c r="AH51" s="106">
        <f t="shared" si="57"/>
        <v>11000</v>
      </c>
      <c r="AI51" s="109"/>
      <c r="AJ51" s="106">
        <f t="shared" si="58"/>
        <v>11000</v>
      </c>
      <c r="AK51" s="109"/>
      <c r="AL51" s="106">
        <f t="shared" si="59"/>
        <v>11000</v>
      </c>
      <c r="AM51" s="109"/>
      <c r="AN51" s="106">
        <f t="shared" si="60"/>
        <v>11000</v>
      </c>
      <c r="AO51" s="106">
        <v>796</v>
      </c>
      <c r="AP51" s="113">
        <f>7123+8+6</f>
        <v>7137</v>
      </c>
      <c r="AQ51" s="243">
        <v>11000</v>
      </c>
      <c r="AR51" s="275"/>
      <c r="AS51" s="244">
        <f t="shared" si="14"/>
        <v>11000</v>
      </c>
      <c r="AT51" s="158"/>
      <c r="AU51" s="103"/>
      <c r="AV51" s="103"/>
      <c r="AW51" s="131"/>
      <c r="AX51" s="127" t="s">
        <v>165</v>
      </c>
    </row>
    <row r="52" spans="1:50" ht="12.75" hidden="1">
      <c r="A52" s="31"/>
      <c r="B52" s="27">
        <v>4270</v>
      </c>
      <c r="C52" s="18" t="s">
        <v>24</v>
      </c>
      <c r="D52" s="104"/>
      <c r="E52" s="106"/>
      <c r="F52" s="106"/>
      <c r="G52" s="109"/>
      <c r="H52" s="106">
        <v>0</v>
      </c>
      <c r="I52" s="109"/>
      <c r="J52" s="106">
        <v>0</v>
      </c>
      <c r="K52" s="109">
        <v>20000</v>
      </c>
      <c r="L52" s="106">
        <f>K52+H52</f>
        <v>20000</v>
      </c>
      <c r="M52" s="109"/>
      <c r="N52" s="106">
        <f>M52+L52</f>
        <v>20000</v>
      </c>
      <c r="O52" s="106"/>
      <c r="P52" s="106">
        <f>O52+N52</f>
        <v>20000</v>
      </c>
      <c r="Q52" s="109"/>
      <c r="R52" s="106">
        <f>Q52+P52</f>
        <v>20000</v>
      </c>
      <c r="S52" s="109"/>
      <c r="T52" s="106">
        <f>S52+R52</f>
        <v>20000</v>
      </c>
      <c r="U52" s="109"/>
      <c r="V52" s="106">
        <f>U52+T52</f>
        <v>20000</v>
      </c>
      <c r="W52" s="109"/>
      <c r="X52" s="106">
        <f>W52+V52</f>
        <v>20000</v>
      </c>
      <c r="Y52" s="109"/>
      <c r="Z52" s="106">
        <f>Y52+X52</f>
        <v>20000</v>
      </c>
      <c r="AA52" s="109"/>
      <c r="AB52" s="106">
        <f t="shared" si="54"/>
        <v>20000</v>
      </c>
      <c r="AC52" s="109"/>
      <c r="AD52" s="106">
        <f t="shared" si="55"/>
        <v>20000</v>
      </c>
      <c r="AE52" s="109"/>
      <c r="AF52" s="106">
        <f t="shared" si="56"/>
        <v>20000</v>
      </c>
      <c r="AG52" s="147"/>
      <c r="AH52" s="106">
        <f t="shared" si="57"/>
        <v>20000</v>
      </c>
      <c r="AI52" s="109"/>
      <c r="AJ52" s="106">
        <f t="shared" si="58"/>
        <v>20000</v>
      </c>
      <c r="AK52" s="109"/>
      <c r="AL52" s="106">
        <f t="shared" si="59"/>
        <v>20000</v>
      </c>
      <c r="AM52" s="109"/>
      <c r="AN52" s="106">
        <f t="shared" si="60"/>
        <v>20000</v>
      </c>
      <c r="AO52" s="106">
        <v>627</v>
      </c>
      <c r="AP52" s="113">
        <v>8767</v>
      </c>
      <c r="AQ52" s="243">
        <v>5000</v>
      </c>
      <c r="AR52" s="275"/>
      <c r="AS52" s="244">
        <f t="shared" si="14"/>
        <v>5000</v>
      </c>
      <c r="AT52" s="158"/>
      <c r="AU52" s="103"/>
      <c r="AV52" s="103"/>
      <c r="AW52" s="131"/>
      <c r="AX52" s="127"/>
    </row>
    <row r="53" spans="1:51" ht="12.75" hidden="1">
      <c r="A53" s="21"/>
      <c r="B53" s="27">
        <v>4300</v>
      </c>
      <c r="C53" s="18" t="s">
        <v>15</v>
      </c>
      <c r="D53" s="104">
        <f>100000+1000+25000+57000</f>
        <v>183000</v>
      </c>
      <c r="E53" s="106"/>
      <c r="F53" s="106">
        <f>D53+E53</f>
        <v>183000</v>
      </c>
      <c r="G53" s="109"/>
      <c r="H53" s="106">
        <f>G53+F53</f>
        <v>183000</v>
      </c>
      <c r="I53" s="109"/>
      <c r="J53" s="106">
        <f>I53+H53</f>
        <v>183000</v>
      </c>
      <c r="K53" s="109">
        <v>-20000</v>
      </c>
      <c r="L53" s="106">
        <f>K53+H53</f>
        <v>163000</v>
      </c>
      <c r="M53" s="109"/>
      <c r="N53" s="106">
        <f>M53+L53</f>
        <v>163000</v>
      </c>
      <c r="O53" s="106"/>
      <c r="P53" s="106">
        <f>O53+N53</f>
        <v>163000</v>
      </c>
      <c r="Q53" s="109"/>
      <c r="R53" s="106">
        <f>Q53+P53</f>
        <v>163000</v>
      </c>
      <c r="S53" s="109"/>
      <c r="T53" s="106">
        <f>S53+R53</f>
        <v>163000</v>
      </c>
      <c r="U53" s="109">
        <v>-10000</v>
      </c>
      <c r="V53" s="106">
        <f>U53+T53</f>
        <v>153000</v>
      </c>
      <c r="W53" s="109"/>
      <c r="X53" s="106">
        <f>W53+V53</f>
        <v>153000</v>
      </c>
      <c r="Y53" s="109"/>
      <c r="Z53" s="106">
        <f>Y53+X53</f>
        <v>153000</v>
      </c>
      <c r="AA53" s="109">
        <v>-1500</v>
      </c>
      <c r="AB53" s="106">
        <f t="shared" si="54"/>
        <v>151500</v>
      </c>
      <c r="AC53" s="109"/>
      <c r="AD53" s="106">
        <f t="shared" si="55"/>
        <v>151500</v>
      </c>
      <c r="AE53" s="109"/>
      <c r="AF53" s="106">
        <f t="shared" si="56"/>
        <v>151500</v>
      </c>
      <c r="AG53" s="147">
        <f>-37590-18785</f>
        <v>-56375</v>
      </c>
      <c r="AH53" s="106">
        <f t="shared" si="57"/>
        <v>95125</v>
      </c>
      <c r="AI53" s="109"/>
      <c r="AJ53" s="106">
        <f t="shared" si="58"/>
        <v>95125</v>
      </c>
      <c r="AK53" s="109"/>
      <c r="AL53" s="106">
        <f t="shared" si="59"/>
        <v>95125</v>
      </c>
      <c r="AM53" s="109"/>
      <c r="AN53" s="106">
        <f t="shared" si="60"/>
        <v>95125</v>
      </c>
      <c r="AO53" s="106">
        <v>101863</v>
      </c>
      <c r="AP53" s="113">
        <f>23709+976+18050+12+8</f>
        <v>42755</v>
      </c>
      <c r="AQ53" s="243">
        <f>80000-40000</f>
        <v>40000</v>
      </c>
      <c r="AR53" s="275"/>
      <c r="AS53" s="244">
        <f t="shared" si="14"/>
        <v>40000</v>
      </c>
      <c r="AT53" s="158"/>
      <c r="AU53" s="103"/>
      <c r="AV53" s="103"/>
      <c r="AW53" s="131"/>
      <c r="AX53" s="127"/>
      <c r="AY53" s="131">
        <f>AY8+AY9+AY10+AY18+AY20+AY26+AY34+AY37+AY38+AY41+AY45+AY46+AY47+AY48+AY49+AY51</f>
        <v>262950</v>
      </c>
    </row>
    <row r="54" spans="1:50" ht="13.5" customHeight="1" hidden="1">
      <c r="A54" s="21"/>
      <c r="B54" s="27">
        <v>4590</v>
      </c>
      <c r="C54" s="18" t="s">
        <v>25</v>
      </c>
      <c r="D54" s="104">
        <v>250000</v>
      </c>
      <c r="E54" s="106"/>
      <c r="F54" s="106">
        <f>D54+E54</f>
        <v>250000</v>
      </c>
      <c r="G54" s="109"/>
      <c r="H54" s="106">
        <f>G54+F54</f>
        <v>250000</v>
      </c>
      <c r="I54" s="109"/>
      <c r="J54" s="106">
        <f>I54+H54</f>
        <v>250000</v>
      </c>
      <c r="K54" s="110"/>
      <c r="L54" s="106">
        <f>K54+H54</f>
        <v>250000</v>
      </c>
      <c r="M54" s="109"/>
      <c r="N54" s="106">
        <f>M54+L54</f>
        <v>250000</v>
      </c>
      <c r="O54" s="106"/>
      <c r="P54" s="106">
        <f>O54+N54</f>
        <v>250000</v>
      </c>
      <c r="Q54" s="109"/>
      <c r="R54" s="106">
        <f>Q54+P54</f>
        <v>250000</v>
      </c>
      <c r="S54" s="109"/>
      <c r="T54" s="106">
        <f>S54+R54</f>
        <v>250000</v>
      </c>
      <c r="U54" s="109">
        <v>40000</v>
      </c>
      <c r="V54" s="106">
        <f>U54+T54</f>
        <v>290000</v>
      </c>
      <c r="W54" s="109"/>
      <c r="X54" s="106">
        <f>W54+V54</f>
        <v>290000</v>
      </c>
      <c r="Y54" s="109"/>
      <c r="Z54" s="106">
        <f>Y54+X54</f>
        <v>290000</v>
      </c>
      <c r="AA54" s="109"/>
      <c r="AB54" s="106">
        <f t="shared" si="54"/>
        <v>290000</v>
      </c>
      <c r="AC54" s="109"/>
      <c r="AD54" s="106">
        <f t="shared" si="55"/>
        <v>290000</v>
      </c>
      <c r="AE54" s="109"/>
      <c r="AF54" s="106">
        <f t="shared" si="56"/>
        <v>290000</v>
      </c>
      <c r="AG54" s="147"/>
      <c r="AH54" s="106">
        <f t="shared" si="57"/>
        <v>290000</v>
      </c>
      <c r="AI54" s="109"/>
      <c r="AJ54" s="106">
        <f t="shared" si="58"/>
        <v>290000</v>
      </c>
      <c r="AK54" s="109"/>
      <c r="AL54" s="106">
        <f t="shared" si="59"/>
        <v>290000</v>
      </c>
      <c r="AM54" s="109"/>
      <c r="AN54" s="106">
        <f t="shared" si="60"/>
        <v>290000</v>
      </c>
      <c r="AO54" s="106">
        <v>0</v>
      </c>
      <c r="AP54" s="113">
        <v>232993</v>
      </c>
      <c r="AQ54" s="243">
        <f>300000-250000</f>
        <v>50000</v>
      </c>
      <c r="AR54" s="275"/>
      <c r="AS54" s="244">
        <f t="shared" si="14"/>
        <v>50000</v>
      </c>
      <c r="AT54" s="158"/>
      <c r="AU54" s="103"/>
      <c r="AV54" s="103"/>
      <c r="AW54" s="131"/>
      <c r="AX54" s="127"/>
    </row>
    <row r="55" spans="1:50" ht="13.5" customHeight="1" hidden="1">
      <c r="A55" s="21"/>
      <c r="B55" s="27">
        <v>4610</v>
      </c>
      <c r="C55" s="18" t="s">
        <v>135</v>
      </c>
      <c r="D55" s="104"/>
      <c r="E55" s="106"/>
      <c r="F55" s="106"/>
      <c r="G55" s="109"/>
      <c r="H55" s="106"/>
      <c r="I55" s="109"/>
      <c r="J55" s="106"/>
      <c r="K55" s="110"/>
      <c r="L55" s="106"/>
      <c r="M55" s="109"/>
      <c r="N55" s="106"/>
      <c r="O55" s="106"/>
      <c r="P55" s="106"/>
      <c r="Q55" s="109"/>
      <c r="R55" s="106"/>
      <c r="S55" s="109"/>
      <c r="T55" s="106"/>
      <c r="U55" s="109">
        <v>1500</v>
      </c>
      <c r="V55" s="106">
        <f>U55+T55</f>
        <v>1500</v>
      </c>
      <c r="W55" s="109"/>
      <c r="X55" s="106">
        <f>W55+V55</f>
        <v>1500</v>
      </c>
      <c r="Y55" s="109"/>
      <c r="Z55" s="106">
        <f>Y55+X55</f>
        <v>1500</v>
      </c>
      <c r="AA55" s="109">
        <v>1000</v>
      </c>
      <c r="AB55" s="106">
        <f t="shared" si="54"/>
        <v>2500</v>
      </c>
      <c r="AC55" s="109"/>
      <c r="AD55" s="106">
        <f t="shared" si="55"/>
        <v>2500</v>
      </c>
      <c r="AE55" s="109"/>
      <c r="AF55" s="106">
        <f t="shared" si="56"/>
        <v>2500</v>
      </c>
      <c r="AG55" s="147"/>
      <c r="AH55" s="106">
        <f t="shared" si="57"/>
        <v>2500</v>
      </c>
      <c r="AI55" s="109"/>
      <c r="AJ55" s="106">
        <f t="shared" si="58"/>
        <v>2500</v>
      </c>
      <c r="AK55" s="109"/>
      <c r="AL55" s="106">
        <f t="shared" si="59"/>
        <v>2500</v>
      </c>
      <c r="AM55" s="109"/>
      <c r="AN55" s="106">
        <f t="shared" si="60"/>
        <v>2500</v>
      </c>
      <c r="AO55" s="106">
        <v>0</v>
      </c>
      <c r="AP55" s="113">
        <v>1590</v>
      </c>
      <c r="AQ55" s="243">
        <v>2500</v>
      </c>
      <c r="AR55" s="275"/>
      <c r="AS55" s="244">
        <f t="shared" si="14"/>
        <v>2500</v>
      </c>
      <c r="AT55" s="158"/>
      <c r="AU55" s="103"/>
      <c r="AV55" s="103"/>
      <c r="AW55" s="131"/>
      <c r="AX55" s="127"/>
    </row>
    <row r="56" spans="1:50" ht="13.5" customHeight="1" hidden="1">
      <c r="A56" s="21"/>
      <c r="B56" s="27">
        <v>6050</v>
      </c>
      <c r="C56" s="18" t="s">
        <v>26</v>
      </c>
      <c r="D56" s="104"/>
      <c r="E56" s="106"/>
      <c r="F56" s="106"/>
      <c r="G56" s="109"/>
      <c r="H56" s="106"/>
      <c r="I56" s="109"/>
      <c r="J56" s="106"/>
      <c r="K56" s="110"/>
      <c r="L56" s="106"/>
      <c r="M56" s="109"/>
      <c r="N56" s="106"/>
      <c r="O56" s="106"/>
      <c r="P56" s="106"/>
      <c r="Q56" s="109"/>
      <c r="R56" s="106"/>
      <c r="S56" s="109"/>
      <c r="T56" s="106"/>
      <c r="U56" s="109"/>
      <c r="V56" s="106"/>
      <c r="W56" s="109"/>
      <c r="X56" s="106"/>
      <c r="Y56" s="109"/>
      <c r="Z56" s="106"/>
      <c r="AA56" s="109">
        <v>30000</v>
      </c>
      <c r="AB56" s="106">
        <f t="shared" si="54"/>
        <v>30000</v>
      </c>
      <c r="AC56" s="109"/>
      <c r="AD56" s="106">
        <f t="shared" si="55"/>
        <v>30000</v>
      </c>
      <c r="AE56" s="109"/>
      <c r="AF56" s="106">
        <f t="shared" si="56"/>
        <v>30000</v>
      </c>
      <c r="AG56" s="147"/>
      <c r="AH56" s="106">
        <f t="shared" si="57"/>
        <v>30000</v>
      </c>
      <c r="AI56" s="109"/>
      <c r="AJ56" s="106">
        <f t="shared" si="58"/>
        <v>30000</v>
      </c>
      <c r="AK56" s="109"/>
      <c r="AL56" s="106">
        <f t="shared" si="59"/>
        <v>30000</v>
      </c>
      <c r="AM56" s="109"/>
      <c r="AN56" s="106">
        <f t="shared" si="60"/>
        <v>30000</v>
      </c>
      <c r="AO56" s="106">
        <v>0</v>
      </c>
      <c r="AP56" s="113">
        <v>0</v>
      </c>
      <c r="AQ56" s="243">
        <v>100000</v>
      </c>
      <c r="AR56" s="275"/>
      <c r="AS56" s="244">
        <f t="shared" si="14"/>
        <v>100000</v>
      </c>
      <c r="AT56" s="158"/>
      <c r="AU56" s="103"/>
      <c r="AV56" s="103"/>
      <c r="AW56" s="131"/>
      <c r="AX56" s="127"/>
    </row>
    <row r="57" spans="1:50" ht="12.75" hidden="1">
      <c r="A57" s="31">
        <v>70095</v>
      </c>
      <c r="B57" s="26"/>
      <c r="C57" s="19" t="s">
        <v>13</v>
      </c>
      <c r="D57" s="190">
        <f aca="true" t="shared" si="61" ref="D57:J57">SUM(D58:D58)</f>
        <v>50000</v>
      </c>
      <c r="E57" s="190">
        <f t="shared" si="61"/>
        <v>0</v>
      </c>
      <c r="F57" s="190">
        <f t="shared" si="61"/>
        <v>50000</v>
      </c>
      <c r="G57" s="190">
        <f t="shared" si="61"/>
        <v>0</v>
      </c>
      <c r="H57" s="190">
        <f t="shared" si="61"/>
        <v>50000</v>
      </c>
      <c r="I57" s="190">
        <f t="shared" si="61"/>
        <v>0</v>
      </c>
      <c r="J57" s="190">
        <f t="shared" si="61"/>
        <v>50000</v>
      </c>
      <c r="K57" s="110"/>
      <c r="L57" s="190">
        <f>SUM(L58:L58)</f>
        <v>50000</v>
      </c>
      <c r="M57" s="109"/>
      <c r="N57" s="190">
        <f>SUM(N58:N58)</f>
        <v>50000</v>
      </c>
      <c r="O57" s="190"/>
      <c r="P57" s="190">
        <f>SUM(P58:P58)</f>
        <v>50000</v>
      </c>
      <c r="Q57" s="109"/>
      <c r="R57" s="190">
        <f>SUM(R58:R58)</f>
        <v>50000</v>
      </c>
      <c r="S57" s="109"/>
      <c r="T57" s="190">
        <f aca="true" t="shared" si="62" ref="T57:AQ57">SUM(T58:T58)</f>
        <v>50000</v>
      </c>
      <c r="U57" s="190">
        <f t="shared" si="62"/>
        <v>-1500</v>
      </c>
      <c r="V57" s="190">
        <f t="shared" si="62"/>
        <v>48500</v>
      </c>
      <c r="W57" s="190">
        <f t="shared" si="62"/>
        <v>0</v>
      </c>
      <c r="X57" s="190">
        <f t="shared" si="62"/>
        <v>48500</v>
      </c>
      <c r="Y57" s="190">
        <f t="shared" si="62"/>
        <v>0</v>
      </c>
      <c r="Z57" s="190">
        <f t="shared" si="62"/>
        <v>48500</v>
      </c>
      <c r="AA57" s="190">
        <f t="shared" si="62"/>
        <v>0</v>
      </c>
      <c r="AB57" s="190">
        <f t="shared" si="62"/>
        <v>48500</v>
      </c>
      <c r="AC57" s="190">
        <f t="shared" si="62"/>
        <v>0</v>
      </c>
      <c r="AD57" s="190">
        <f t="shared" si="62"/>
        <v>48500</v>
      </c>
      <c r="AE57" s="190">
        <f t="shared" si="62"/>
        <v>0</v>
      </c>
      <c r="AF57" s="190">
        <f t="shared" si="62"/>
        <v>48500</v>
      </c>
      <c r="AG57" s="191">
        <f t="shared" si="62"/>
        <v>-30000</v>
      </c>
      <c r="AH57" s="190">
        <f t="shared" si="62"/>
        <v>18500</v>
      </c>
      <c r="AI57" s="190">
        <f t="shared" si="62"/>
        <v>0</v>
      </c>
      <c r="AJ57" s="190">
        <f t="shared" si="62"/>
        <v>18500</v>
      </c>
      <c r="AK57" s="190">
        <f t="shared" si="62"/>
        <v>-5000</v>
      </c>
      <c r="AL57" s="190">
        <f t="shared" si="62"/>
        <v>13500</v>
      </c>
      <c r="AM57" s="190">
        <f t="shared" si="62"/>
        <v>0</v>
      </c>
      <c r="AN57" s="190">
        <f t="shared" si="62"/>
        <v>13500</v>
      </c>
      <c r="AO57" s="190">
        <f t="shared" si="62"/>
        <v>12696</v>
      </c>
      <c r="AP57" s="81">
        <f t="shared" si="62"/>
        <v>1701</v>
      </c>
      <c r="AQ57" s="247">
        <f t="shared" si="62"/>
        <v>10000</v>
      </c>
      <c r="AR57" s="274"/>
      <c r="AS57" s="244">
        <f t="shared" si="14"/>
        <v>10000</v>
      </c>
      <c r="AT57" s="158"/>
      <c r="AU57" s="103"/>
      <c r="AV57" s="103"/>
      <c r="AW57" s="131" t="s">
        <v>188</v>
      </c>
      <c r="AX57" s="127"/>
    </row>
    <row r="58" spans="1:50" ht="12.75" hidden="1">
      <c r="A58" s="21"/>
      <c r="B58" s="27">
        <v>4300</v>
      </c>
      <c r="C58" s="18" t="s">
        <v>15</v>
      </c>
      <c r="D58" s="104">
        <v>50000</v>
      </c>
      <c r="E58" s="106"/>
      <c r="F58" s="106">
        <f>D58+E58</f>
        <v>50000</v>
      </c>
      <c r="G58" s="109"/>
      <c r="H58" s="106">
        <f>G58+F58</f>
        <v>50000</v>
      </c>
      <c r="I58" s="109"/>
      <c r="J58" s="106">
        <f>I58+H58</f>
        <v>50000</v>
      </c>
      <c r="K58" s="110"/>
      <c r="L58" s="106">
        <f>K58+H58</f>
        <v>50000</v>
      </c>
      <c r="M58" s="109"/>
      <c r="N58" s="106">
        <f>M58+L58</f>
        <v>50000</v>
      </c>
      <c r="O58" s="106"/>
      <c r="P58" s="106">
        <f>O58+N58</f>
        <v>50000</v>
      </c>
      <c r="Q58" s="109"/>
      <c r="R58" s="106">
        <f>Q58+P58</f>
        <v>50000</v>
      </c>
      <c r="S58" s="109"/>
      <c r="T58" s="106">
        <f>S58+R58</f>
        <v>50000</v>
      </c>
      <c r="U58" s="109">
        <v>-1500</v>
      </c>
      <c r="V58" s="106">
        <f>U58+T58</f>
        <v>48500</v>
      </c>
      <c r="W58" s="109"/>
      <c r="X58" s="106">
        <f>W58+V58</f>
        <v>48500</v>
      </c>
      <c r="Y58" s="109"/>
      <c r="Z58" s="106">
        <f>Y58+X58</f>
        <v>48500</v>
      </c>
      <c r="AA58" s="109"/>
      <c r="AB58" s="106">
        <f>AA58+Z58</f>
        <v>48500</v>
      </c>
      <c r="AC58" s="109"/>
      <c r="AD58" s="106">
        <f>AC58+AB58</f>
        <v>48500</v>
      </c>
      <c r="AE58" s="109"/>
      <c r="AF58" s="106">
        <f>AE58+AD58</f>
        <v>48500</v>
      </c>
      <c r="AG58" s="147">
        <v>-30000</v>
      </c>
      <c r="AH58" s="106">
        <f>AG58+AF58</f>
        <v>18500</v>
      </c>
      <c r="AI58" s="109"/>
      <c r="AJ58" s="106">
        <f>AI58+AH58</f>
        <v>18500</v>
      </c>
      <c r="AK58" s="109">
        <v>-5000</v>
      </c>
      <c r="AL58" s="106">
        <f>AK58+AJ58</f>
        <v>13500</v>
      </c>
      <c r="AM58" s="109"/>
      <c r="AN58" s="106">
        <f>AM58+AL58</f>
        <v>13500</v>
      </c>
      <c r="AO58" s="106">
        <v>12696</v>
      </c>
      <c r="AP58" s="113">
        <f>1393+253+55</f>
        <v>1701</v>
      </c>
      <c r="AQ58" s="243">
        <v>10000</v>
      </c>
      <c r="AR58" s="275"/>
      <c r="AS58" s="244">
        <f t="shared" si="14"/>
        <v>10000</v>
      </c>
      <c r="AT58" s="158"/>
      <c r="AU58" s="103"/>
      <c r="AV58" s="103"/>
      <c r="AW58" s="131"/>
      <c r="AX58" s="127"/>
    </row>
    <row r="59" spans="1:50" ht="12.75" hidden="1">
      <c r="A59" s="218">
        <v>710</v>
      </c>
      <c r="B59" s="187"/>
      <c r="C59" s="188" t="s">
        <v>29</v>
      </c>
      <c r="D59" s="189">
        <f aca="true" t="shared" si="63" ref="D59:AQ59">SUM(D60,D62,D64)</f>
        <v>160000</v>
      </c>
      <c r="E59" s="189">
        <f t="shared" si="63"/>
        <v>0</v>
      </c>
      <c r="F59" s="189">
        <f t="shared" si="63"/>
        <v>160000</v>
      </c>
      <c r="G59" s="189">
        <f t="shared" si="63"/>
        <v>0</v>
      </c>
      <c r="H59" s="189">
        <f t="shared" si="63"/>
        <v>160000</v>
      </c>
      <c r="I59" s="189">
        <f t="shared" si="63"/>
        <v>0</v>
      </c>
      <c r="J59" s="189">
        <f t="shared" si="63"/>
        <v>160000</v>
      </c>
      <c r="K59" s="189">
        <f t="shared" si="63"/>
        <v>0</v>
      </c>
      <c r="L59" s="189">
        <f t="shared" si="63"/>
        <v>160000</v>
      </c>
      <c r="M59" s="189">
        <f t="shared" si="63"/>
        <v>0</v>
      </c>
      <c r="N59" s="189">
        <f t="shared" si="63"/>
        <v>160000</v>
      </c>
      <c r="O59" s="189">
        <f t="shared" si="63"/>
        <v>0</v>
      </c>
      <c r="P59" s="189">
        <f t="shared" si="63"/>
        <v>160000</v>
      </c>
      <c r="Q59" s="189">
        <f t="shared" si="63"/>
        <v>0</v>
      </c>
      <c r="R59" s="189">
        <f t="shared" si="63"/>
        <v>160000</v>
      </c>
      <c r="S59" s="189">
        <f t="shared" si="63"/>
        <v>0</v>
      </c>
      <c r="T59" s="189">
        <f t="shared" si="63"/>
        <v>160000</v>
      </c>
      <c r="U59" s="189">
        <f t="shared" si="63"/>
        <v>-5000</v>
      </c>
      <c r="V59" s="189">
        <f t="shared" si="63"/>
        <v>155000</v>
      </c>
      <c r="W59" s="189">
        <f t="shared" si="63"/>
        <v>0</v>
      </c>
      <c r="X59" s="189">
        <f t="shared" si="63"/>
        <v>155000</v>
      </c>
      <c r="Y59" s="189">
        <f t="shared" si="63"/>
        <v>0</v>
      </c>
      <c r="Z59" s="189">
        <f t="shared" si="63"/>
        <v>155000</v>
      </c>
      <c r="AA59" s="189">
        <f t="shared" si="63"/>
        <v>0</v>
      </c>
      <c r="AB59" s="189">
        <f t="shared" si="63"/>
        <v>155000</v>
      </c>
      <c r="AC59" s="189">
        <f t="shared" si="63"/>
        <v>0</v>
      </c>
      <c r="AD59" s="189">
        <f t="shared" si="63"/>
        <v>155000</v>
      </c>
      <c r="AE59" s="189">
        <f t="shared" si="63"/>
        <v>0</v>
      </c>
      <c r="AF59" s="189">
        <f t="shared" si="63"/>
        <v>155000</v>
      </c>
      <c r="AG59" s="189">
        <f t="shared" si="63"/>
        <v>-30000</v>
      </c>
      <c r="AH59" s="189">
        <f t="shared" si="63"/>
        <v>125000</v>
      </c>
      <c r="AI59" s="189">
        <f t="shared" si="63"/>
        <v>0</v>
      </c>
      <c r="AJ59" s="189">
        <f t="shared" si="63"/>
        <v>125000</v>
      </c>
      <c r="AK59" s="189">
        <f t="shared" si="63"/>
        <v>-53500</v>
      </c>
      <c r="AL59" s="189">
        <f t="shared" si="63"/>
        <v>71500</v>
      </c>
      <c r="AM59" s="189">
        <f t="shared" si="63"/>
        <v>0</v>
      </c>
      <c r="AN59" s="189">
        <f t="shared" si="63"/>
        <v>71500</v>
      </c>
      <c r="AO59" s="189">
        <f t="shared" si="63"/>
        <v>75965</v>
      </c>
      <c r="AP59" s="221">
        <f t="shared" si="63"/>
        <v>110555</v>
      </c>
      <c r="AQ59" s="249">
        <f t="shared" si="63"/>
        <v>46700</v>
      </c>
      <c r="AR59" s="276"/>
      <c r="AS59" s="244">
        <f t="shared" si="14"/>
        <v>46700</v>
      </c>
      <c r="AT59" s="158"/>
      <c r="AU59" s="103"/>
      <c r="AV59" s="103"/>
      <c r="AW59" s="131"/>
      <c r="AX59" s="127"/>
    </row>
    <row r="60" spans="1:50" ht="12.75" hidden="1">
      <c r="A60" s="31">
        <v>71004</v>
      </c>
      <c r="B60" s="26"/>
      <c r="C60" s="19" t="s">
        <v>30</v>
      </c>
      <c r="D60" s="190">
        <f aca="true" t="shared" si="64" ref="D60:J60">SUM(D61:D61)</f>
        <v>100000</v>
      </c>
      <c r="E60" s="190">
        <f t="shared" si="64"/>
        <v>0</v>
      </c>
      <c r="F60" s="190">
        <f t="shared" si="64"/>
        <v>100000</v>
      </c>
      <c r="G60" s="190">
        <f t="shared" si="64"/>
        <v>0</v>
      </c>
      <c r="H60" s="190">
        <f t="shared" si="64"/>
        <v>100000</v>
      </c>
      <c r="I60" s="190">
        <f t="shared" si="64"/>
        <v>0</v>
      </c>
      <c r="J60" s="190">
        <f t="shared" si="64"/>
        <v>100000</v>
      </c>
      <c r="K60" s="110"/>
      <c r="L60" s="190">
        <f>SUM(L61:L61)</f>
        <v>100000</v>
      </c>
      <c r="M60" s="109"/>
      <c r="N60" s="190">
        <f>SUM(N61:N61)</f>
        <v>100000</v>
      </c>
      <c r="O60" s="190"/>
      <c r="P60" s="190">
        <f>SUM(P61:P61)</f>
        <v>100000</v>
      </c>
      <c r="Q60" s="109"/>
      <c r="R60" s="190">
        <f>SUM(R61:R61)</f>
        <v>100000</v>
      </c>
      <c r="S60" s="109"/>
      <c r="T60" s="190">
        <f aca="true" t="shared" si="65" ref="T60:AQ60">SUM(T61:T61)</f>
        <v>100000</v>
      </c>
      <c r="U60" s="190">
        <f t="shared" si="65"/>
        <v>-5000</v>
      </c>
      <c r="V60" s="190">
        <f t="shared" si="65"/>
        <v>95000</v>
      </c>
      <c r="W60" s="190">
        <f t="shared" si="65"/>
        <v>0</v>
      </c>
      <c r="X60" s="190">
        <f t="shared" si="65"/>
        <v>95000</v>
      </c>
      <c r="Y60" s="190">
        <f t="shared" si="65"/>
        <v>0</v>
      </c>
      <c r="Z60" s="190">
        <f t="shared" si="65"/>
        <v>95000</v>
      </c>
      <c r="AA60" s="190">
        <f t="shared" si="65"/>
        <v>0</v>
      </c>
      <c r="AB60" s="190">
        <f t="shared" si="65"/>
        <v>95000</v>
      </c>
      <c r="AC60" s="190">
        <f t="shared" si="65"/>
        <v>0</v>
      </c>
      <c r="AD60" s="190">
        <f t="shared" si="65"/>
        <v>95000</v>
      </c>
      <c r="AE60" s="190">
        <f t="shared" si="65"/>
        <v>0</v>
      </c>
      <c r="AF60" s="190">
        <f t="shared" si="65"/>
        <v>95000</v>
      </c>
      <c r="AG60" s="191">
        <f t="shared" si="65"/>
        <v>0</v>
      </c>
      <c r="AH60" s="190">
        <f t="shared" si="65"/>
        <v>95000</v>
      </c>
      <c r="AI60" s="190">
        <f t="shared" si="65"/>
        <v>0</v>
      </c>
      <c r="AJ60" s="190">
        <f t="shared" si="65"/>
        <v>95000</v>
      </c>
      <c r="AK60" s="190">
        <f t="shared" si="65"/>
        <v>-31500</v>
      </c>
      <c r="AL60" s="190">
        <f t="shared" si="65"/>
        <v>63500</v>
      </c>
      <c r="AM60" s="190">
        <f t="shared" si="65"/>
        <v>0</v>
      </c>
      <c r="AN60" s="190">
        <f t="shared" si="65"/>
        <v>63500</v>
      </c>
      <c r="AO60" s="190">
        <f t="shared" si="65"/>
        <v>75648</v>
      </c>
      <c r="AP60" s="81">
        <f t="shared" si="65"/>
        <v>100000</v>
      </c>
      <c r="AQ60" s="247">
        <f t="shared" si="65"/>
        <v>36700</v>
      </c>
      <c r="AR60" s="274"/>
      <c r="AS60" s="244">
        <f t="shared" si="14"/>
        <v>36700</v>
      </c>
      <c r="AT60" s="158"/>
      <c r="AU60" s="103"/>
      <c r="AV60" s="103"/>
      <c r="AW60" s="131"/>
      <c r="AX60" s="127"/>
    </row>
    <row r="61" spans="1:50" ht="12.75" hidden="1">
      <c r="A61" s="21"/>
      <c r="B61" s="27">
        <v>4300</v>
      </c>
      <c r="C61" s="18" t="s">
        <v>15</v>
      </c>
      <c r="D61" s="104">
        <v>100000</v>
      </c>
      <c r="E61" s="106"/>
      <c r="F61" s="106">
        <f>D61+E61</f>
        <v>100000</v>
      </c>
      <c r="G61" s="109"/>
      <c r="H61" s="106">
        <f>G61+F61</f>
        <v>100000</v>
      </c>
      <c r="I61" s="109"/>
      <c r="J61" s="106">
        <f>I61+H61</f>
        <v>100000</v>
      </c>
      <c r="K61" s="110"/>
      <c r="L61" s="106">
        <f>K61+H61</f>
        <v>100000</v>
      </c>
      <c r="M61" s="109"/>
      <c r="N61" s="106">
        <f>M61+L61</f>
        <v>100000</v>
      </c>
      <c r="O61" s="106"/>
      <c r="P61" s="106">
        <f>O61+N61</f>
        <v>100000</v>
      </c>
      <c r="Q61" s="109"/>
      <c r="R61" s="106">
        <f>Q61+P61</f>
        <v>100000</v>
      </c>
      <c r="S61" s="109"/>
      <c r="T61" s="106">
        <f>S61+R61</f>
        <v>100000</v>
      </c>
      <c r="U61" s="109">
        <v>-5000</v>
      </c>
      <c r="V61" s="106">
        <f>U61+T61</f>
        <v>95000</v>
      </c>
      <c r="W61" s="109"/>
      <c r="X61" s="106">
        <f>W61+V61</f>
        <v>95000</v>
      </c>
      <c r="Y61" s="109"/>
      <c r="Z61" s="106">
        <f>Y61+X61</f>
        <v>95000</v>
      </c>
      <c r="AA61" s="109"/>
      <c r="AB61" s="106">
        <f>AA61+Z61</f>
        <v>95000</v>
      </c>
      <c r="AC61" s="109"/>
      <c r="AD61" s="106">
        <f>AC61+AB61</f>
        <v>95000</v>
      </c>
      <c r="AE61" s="109"/>
      <c r="AF61" s="106">
        <f>AE61+AD61</f>
        <v>95000</v>
      </c>
      <c r="AG61" s="147"/>
      <c r="AH61" s="106">
        <f>AG61+AF61</f>
        <v>95000</v>
      </c>
      <c r="AI61" s="109"/>
      <c r="AJ61" s="106">
        <f>AI61+AH61</f>
        <v>95000</v>
      </c>
      <c r="AK61" s="109">
        <f>-7300-2900-960-7940-1100-1800-6000-3500</f>
        <v>-31500</v>
      </c>
      <c r="AL61" s="106">
        <f>AK61+AJ61</f>
        <v>63500</v>
      </c>
      <c r="AM61" s="109"/>
      <c r="AN61" s="106">
        <f>AM61+AL61</f>
        <v>63500</v>
      </c>
      <c r="AO61" s="106">
        <v>75648</v>
      </c>
      <c r="AP61" s="113">
        <v>100000</v>
      </c>
      <c r="AQ61" s="243">
        <f>70000-33300</f>
        <v>36700</v>
      </c>
      <c r="AR61" s="275"/>
      <c r="AS61" s="244">
        <f t="shared" si="14"/>
        <v>36700</v>
      </c>
      <c r="AT61" s="158"/>
      <c r="AU61" s="103"/>
      <c r="AV61" s="103"/>
      <c r="AW61" s="131"/>
      <c r="AX61" s="127"/>
    </row>
    <row r="62" spans="1:50" ht="12.75" hidden="1">
      <c r="A62" s="31">
        <v>71013</v>
      </c>
      <c r="B62" s="26"/>
      <c r="C62" s="19" t="s">
        <v>31</v>
      </c>
      <c r="D62" s="190">
        <f aca="true" t="shared" si="66" ref="D62:J62">SUM(D63)</f>
        <v>20000</v>
      </c>
      <c r="E62" s="190">
        <f t="shared" si="66"/>
        <v>0</v>
      </c>
      <c r="F62" s="190">
        <f t="shared" si="66"/>
        <v>20000</v>
      </c>
      <c r="G62" s="190">
        <f t="shared" si="66"/>
        <v>0</v>
      </c>
      <c r="H62" s="190">
        <f t="shared" si="66"/>
        <v>20000</v>
      </c>
      <c r="I62" s="190">
        <f t="shared" si="66"/>
        <v>0</v>
      </c>
      <c r="J62" s="190">
        <f t="shared" si="66"/>
        <v>20000</v>
      </c>
      <c r="K62" s="110"/>
      <c r="L62" s="190">
        <f>SUM(L63)</f>
        <v>20000</v>
      </c>
      <c r="M62" s="109"/>
      <c r="N62" s="190">
        <f>SUM(N63)</f>
        <v>20000</v>
      </c>
      <c r="O62" s="190"/>
      <c r="P62" s="190">
        <f>SUM(P63)</f>
        <v>20000</v>
      </c>
      <c r="Q62" s="109"/>
      <c r="R62" s="190">
        <f>SUM(R63)</f>
        <v>20000</v>
      </c>
      <c r="S62" s="109"/>
      <c r="T62" s="190">
        <f>SUM(T63)</f>
        <v>20000</v>
      </c>
      <c r="U62" s="109"/>
      <c r="V62" s="190">
        <f>SUM(V63)</f>
        <v>20000</v>
      </c>
      <c r="W62" s="109"/>
      <c r="X62" s="190">
        <f>SUM(X63)</f>
        <v>20000</v>
      </c>
      <c r="Y62" s="109"/>
      <c r="Z62" s="190">
        <f>SUM(Z63)</f>
        <v>20000</v>
      </c>
      <c r="AA62" s="109"/>
      <c r="AB62" s="190">
        <f>SUM(AB63)</f>
        <v>20000</v>
      </c>
      <c r="AC62" s="109"/>
      <c r="AD62" s="190">
        <f>SUM(AD63)</f>
        <v>20000</v>
      </c>
      <c r="AE62" s="109"/>
      <c r="AF62" s="190">
        <f aca="true" t="shared" si="67" ref="AF62:AQ62">SUM(AF63)</f>
        <v>20000</v>
      </c>
      <c r="AG62" s="191">
        <f t="shared" si="67"/>
        <v>-10000</v>
      </c>
      <c r="AH62" s="190">
        <f t="shared" si="67"/>
        <v>10000</v>
      </c>
      <c r="AI62" s="190">
        <f t="shared" si="67"/>
        <v>0</v>
      </c>
      <c r="AJ62" s="190">
        <f t="shared" si="67"/>
        <v>10000</v>
      </c>
      <c r="AK62" s="190">
        <f t="shared" si="67"/>
        <v>-7000</v>
      </c>
      <c r="AL62" s="190">
        <f t="shared" si="67"/>
        <v>3000</v>
      </c>
      <c r="AM62" s="190">
        <f t="shared" si="67"/>
        <v>0</v>
      </c>
      <c r="AN62" s="190">
        <f t="shared" si="67"/>
        <v>3000</v>
      </c>
      <c r="AO62" s="190">
        <f t="shared" si="67"/>
        <v>0</v>
      </c>
      <c r="AP62" s="81">
        <f t="shared" si="67"/>
        <v>10000</v>
      </c>
      <c r="AQ62" s="247">
        <f t="shared" si="67"/>
        <v>5000</v>
      </c>
      <c r="AR62" s="274"/>
      <c r="AS62" s="244">
        <f t="shared" si="14"/>
        <v>5000</v>
      </c>
      <c r="AT62" s="158"/>
      <c r="AU62" s="103"/>
      <c r="AV62" s="103"/>
      <c r="AW62" s="131"/>
      <c r="AX62" s="127"/>
    </row>
    <row r="63" spans="1:50" ht="12.75" hidden="1">
      <c r="A63" s="21"/>
      <c r="B63" s="27">
        <v>4300</v>
      </c>
      <c r="C63" s="18" t="s">
        <v>15</v>
      </c>
      <c r="D63" s="104">
        <v>20000</v>
      </c>
      <c r="E63" s="106"/>
      <c r="F63" s="106">
        <f>D63+E63</f>
        <v>20000</v>
      </c>
      <c r="G63" s="109"/>
      <c r="H63" s="106">
        <f>G63+F63</f>
        <v>20000</v>
      </c>
      <c r="I63" s="109"/>
      <c r="J63" s="106">
        <f>I63+H63</f>
        <v>20000</v>
      </c>
      <c r="K63" s="110"/>
      <c r="L63" s="106">
        <f>K63+H63</f>
        <v>20000</v>
      </c>
      <c r="M63" s="109"/>
      <c r="N63" s="106">
        <f>M63+L63</f>
        <v>20000</v>
      </c>
      <c r="O63" s="106"/>
      <c r="P63" s="106">
        <f>O63+N63</f>
        <v>20000</v>
      </c>
      <c r="Q63" s="109"/>
      <c r="R63" s="106">
        <f>Q63+P63</f>
        <v>20000</v>
      </c>
      <c r="S63" s="109"/>
      <c r="T63" s="106">
        <f>S63+R63</f>
        <v>20000</v>
      </c>
      <c r="U63" s="109"/>
      <c r="V63" s="106">
        <f>U63+T63</f>
        <v>20000</v>
      </c>
      <c r="W63" s="109"/>
      <c r="X63" s="106">
        <f>W63+V63</f>
        <v>20000</v>
      </c>
      <c r="Y63" s="109"/>
      <c r="Z63" s="106">
        <f>Y63+X63</f>
        <v>20000</v>
      </c>
      <c r="AA63" s="109"/>
      <c r="AB63" s="106">
        <f>AA63+Z63</f>
        <v>20000</v>
      </c>
      <c r="AC63" s="109"/>
      <c r="AD63" s="106">
        <f>AC63+AB63</f>
        <v>20000</v>
      </c>
      <c r="AE63" s="109"/>
      <c r="AF63" s="106">
        <f>AE63+AD63</f>
        <v>20000</v>
      </c>
      <c r="AG63" s="147">
        <v>-10000</v>
      </c>
      <c r="AH63" s="106">
        <f>AG63+AF63</f>
        <v>10000</v>
      </c>
      <c r="AI63" s="109"/>
      <c r="AJ63" s="106">
        <f>AI63+AH63</f>
        <v>10000</v>
      </c>
      <c r="AK63" s="109">
        <v>-7000</v>
      </c>
      <c r="AL63" s="106">
        <f>AK63+AJ63</f>
        <v>3000</v>
      </c>
      <c r="AM63" s="109"/>
      <c r="AN63" s="106">
        <f>AM63+AL63</f>
        <v>3000</v>
      </c>
      <c r="AO63" s="106">
        <v>0</v>
      </c>
      <c r="AP63" s="113">
        <v>10000</v>
      </c>
      <c r="AQ63" s="243">
        <v>5000</v>
      </c>
      <c r="AR63" s="275"/>
      <c r="AS63" s="244">
        <f t="shared" si="14"/>
        <v>5000</v>
      </c>
      <c r="AT63" s="158"/>
      <c r="AU63" s="103"/>
      <c r="AV63" s="103"/>
      <c r="AW63" s="131"/>
      <c r="AX63" s="127"/>
    </row>
    <row r="64" spans="1:50" ht="12.75" hidden="1">
      <c r="A64" s="31">
        <v>71095</v>
      </c>
      <c r="B64" s="26"/>
      <c r="C64" s="19" t="s">
        <v>13</v>
      </c>
      <c r="D64" s="190">
        <f aca="true" t="shared" si="68" ref="D64:J64">SUM(D65)</f>
        <v>40000</v>
      </c>
      <c r="E64" s="190">
        <f t="shared" si="68"/>
        <v>0</v>
      </c>
      <c r="F64" s="190">
        <f t="shared" si="68"/>
        <v>40000</v>
      </c>
      <c r="G64" s="190">
        <f t="shared" si="68"/>
        <v>0</v>
      </c>
      <c r="H64" s="190">
        <f t="shared" si="68"/>
        <v>40000</v>
      </c>
      <c r="I64" s="190">
        <f t="shared" si="68"/>
        <v>0</v>
      </c>
      <c r="J64" s="190">
        <f t="shared" si="68"/>
        <v>40000</v>
      </c>
      <c r="K64" s="110"/>
      <c r="L64" s="190">
        <f>SUM(L65)</f>
        <v>40000</v>
      </c>
      <c r="M64" s="109"/>
      <c r="N64" s="190">
        <f>SUM(N65)</f>
        <v>40000</v>
      </c>
      <c r="O64" s="190"/>
      <c r="P64" s="190">
        <f>SUM(P65)</f>
        <v>40000</v>
      </c>
      <c r="Q64" s="109"/>
      <c r="R64" s="190">
        <f>SUM(R65)</f>
        <v>40000</v>
      </c>
      <c r="S64" s="109"/>
      <c r="T64" s="190">
        <f>SUM(T65)</f>
        <v>40000</v>
      </c>
      <c r="U64" s="109"/>
      <c r="V64" s="190">
        <f>SUM(V65)</f>
        <v>40000</v>
      </c>
      <c r="W64" s="109"/>
      <c r="X64" s="190">
        <f>SUM(X65)</f>
        <v>40000</v>
      </c>
      <c r="Y64" s="109"/>
      <c r="Z64" s="190">
        <f>SUM(Z65)</f>
        <v>40000</v>
      </c>
      <c r="AA64" s="109"/>
      <c r="AB64" s="190">
        <f>SUM(AB65)</f>
        <v>40000</v>
      </c>
      <c r="AC64" s="109"/>
      <c r="AD64" s="190">
        <f>SUM(AD65)</f>
        <v>40000</v>
      </c>
      <c r="AE64" s="109"/>
      <c r="AF64" s="190">
        <f aca="true" t="shared" si="69" ref="AF64:AQ64">SUM(AF65)</f>
        <v>40000</v>
      </c>
      <c r="AG64" s="191">
        <f t="shared" si="69"/>
        <v>-20000</v>
      </c>
      <c r="AH64" s="190">
        <f t="shared" si="69"/>
        <v>20000</v>
      </c>
      <c r="AI64" s="190">
        <f t="shared" si="69"/>
        <v>0</v>
      </c>
      <c r="AJ64" s="190">
        <f t="shared" si="69"/>
        <v>20000</v>
      </c>
      <c r="AK64" s="190">
        <f t="shared" si="69"/>
        <v>-15000</v>
      </c>
      <c r="AL64" s="190">
        <f t="shared" si="69"/>
        <v>5000</v>
      </c>
      <c r="AM64" s="190">
        <f t="shared" si="69"/>
        <v>0</v>
      </c>
      <c r="AN64" s="190">
        <f t="shared" si="69"/>
        <v>5000</v>
      </c>
      <c r="AO64" s="190">
        <f t="shared" si="69"/>
        <v>317</v>
      </c>
      <c r="AP64" s="81">
        <f t="shared" si="69"/>
        <v>555</v>
      </c>
      <c r="AQ64" s="247">
        <f t="shared" si="69"/>
        <v>5000</v>
      </c>
      <c r="AR64" s="274"/>
      <c r="AS64" s="244">
        <f t="shared" si="14"/>
        <v>5000</v>
      </c>
      <c r="AT64" s="158"/>
      <c r="AU64" s="103"/>
      <c r="AV64" s="103"/>
      <c r="AW64" s="131"/>
      <c r="AX64" s="127"/>
    </row>
    <row r="65" spans="1:50" ht="12.75" hidden="1">
      <c r="A65" s="21"/>
      <c r="B65" s="27">
        <v>4300</v>
      </c>
      <c r="C65" s="18" t="s">
        <v>15</v>
      </c>
      <c r="D65" s="104">
        <v>40000</v>
      </c>
      <c r="E65" s="106"/>
      <c r="F65" s="106">
        <f>D65+E65</f>
        <v>40000</v>
      </c>
      <c r="G65" s="109"/>
      <c r="H65" s="106">
        <f>G65+F65</f>
        <v>40000</v>
      </c>
      <c r="I65" s="109"/>
      <c r="J65" s="106">
        <f>I65+H65</f>
        <v>40000</v>
      </c>
      <c r="K65" s="110"/>
      <c r="L65" s="106">
        <f>K65+H65</f>
        <v>40000</v>
      </c>
      <c r="M65" s="109"/>
      <c r="N65" s="106">
        <f>M65+L65</f>
        <v>40000</v>
      </c>
      <c r="O65" s="106"/>
      <c r="P65" s="106">
        <f>O65+N65</f>
        <v>40000</v>
      </c>
      <c r="Q65" s="109"/>
      <c r="R65" s="106">
        <f>Q65+P65</f>
        <v>40000</v>
      </c>
      <c r="S65" s="109"/>
      <c r="T65" s="106">
        <f>S65+R65</f>
        <v>40000</v>
      </c>
      <c r="U65" s="109"/>
      <c r="V65" s="106">
        <f>U65+T65</f>
        <v>40000</v>
      </c>
      <c r="W65" s="109"/>
      <c r="X65" s="106">
        <f>W65+V65</f>
        <v>40000</v>
      </c>
      <c r="Y65" s="109"/>
      <c r="Z65" s="106">
        <f>Y65+X65</f>
        <v>40000</v>
      </c>
      <c r="AA65" s="109"/>
      <c r="AB65" s="106">
        <f>AA65+Z65</f>
        <v>40000</v>
      </c>
      <c r="AC65" s="109"/>
      <c r="AD65" s="106">
        <f>AC65+AB65</f>
        <v>40000</v>
      </c>
      <c r="AE65" s="109"/>
      <c r="AF65" s="106">
        <f>AE65+AD65</f>
        <v>40000</v>
      </c>
      <c r="AG65" s="147">
        <v>-20000</v>
      </c>
      <c r="AH65" s="106">
        <f>AG65+AF65</f>
        <v>20000</v>
      </c>
      <c r="AI65" s="109"/>
      <c r="AJ65" s="106">
        <f>AI65+AH65</f>
        <v>20000</v>
      </c>
      <c r="AK65" s="109">
        <v>-15000</v>
      </c>
      <c r="AL65" s="106">
        <f>AK65+AJ65</f>
        <v>5000</v>
      </c>
      <c r="AM65" s="109"/>
      <c r="AN65" s="106">
        <f>AM65+AL65</f>
        <v>5000</v>
      </c>
      <c r="AO65" s="106">
        <v>317</v>
      </c>
      <c r="AP65" s="113">
        <v>555</v>
      </c>
      <c r="AQ65" s="243">
        <v>5000</v>
      </c>
      <c r="AR65" s="275"/>
      <c r="AS65" s="244">
        <f t="shared" si="14"/>
        <v>5000</v>
      </c>
      <c r="AT65" s="158"/>
      <c r="AU65" s="103"/>
      <c r="AV65" s="103"/>
      <c r="AW65" s="131"/>
      <c r="AX65" s="127"/>
    </row>
    <row r="66" spans="1:50" ht="12.75" hidden="1">
      <c r="A66" s="218">
        <v>750</v>
      </c>
      <c r="B66" s="187"/>
      <c r="C66" s="188" t="s">
        <v>32</v>
      </c>
      <c r="D66" s="189">
        <f aca="true" t="shared" si="70" ref="D66:AQ66">SUM(D67,D74,D101,D105)</f>
        <v>2918298.308</v>
      </c>
      <c r="E66" s="189">
        <f t="shared" si="70"/>
        <v>0</v>
      </c>
      <c r="F66" s="189">
        <f t="shared" si="70"/>
        <v>2918298.308</v>
      </c>
      <c r="G66" s="189">
        <f t="shared" si="70"/>
        <v>0</v>
      </c>
      <c r="H66" s="189">
        <f t="shared" si="70"/>
        <v>2918298.308</v>
      </c>
      <c r="I66" s="189">
        <f t="shared" si="70"/>
        <v>0</v>
      </c>
      <c r="J66" s="189">
        <f t="shared" si="70"/>
        <v>2918298.308</v>
      </c>
      <c r="K66" s="189">
        <f t="shared" si="70"/>
        <v>0</v>
      </c>
      <c r="L66" s="189">
        <f t="shared" si="70"/>
        <v>2918298.308</v>
      </c>
      <c r="M66" s="189">
        <f t="shared" si="70"/>
        <v>100000</v>
      </c>
      <c r="N66" s="189">
        <f t="shared" si="70"/>
        <v>3018298.308</v>
      </c>
      <c r="O66" s="189">
        <f t="shared" si="70"/>
        <v>0</v>
      </c>
      <c r="P66" s="189">
        <f t="shared" si="70"/>
        <v>3018298.308</v>
      </c>
      <c r="Q66" s="189">
        <f t="shared" si="70"/>
        <v>364000</v>
      </c>
      <c r="R66" s="189">
        <f t="shared" si="70"/>
        <v>3382298.308</v>
      </c>
      <c r="S66" s="189">
        <f t="shared" si="70"/>
        <v>0</v>
      </c>
      <c r="T66" s="189">
        <f t="shared" si="70"/>
        <v>3382298.308</v>
      </c>
      <c r="U66" s="189">
        <f t="shared" si="70"/>
        <v>26000</v>
      </c>
      <c r="V66" s="189">
        <f t="shared" si="70"/>
        <v>3408298.308</v>
      </c>
      <c r="W66" s="189">
        <f t="shared" si="70"/>
        <v>0</v>
      </c>
      <c r="X66" s="189">
        <f t="shared" si="70"/>
        <v>3408298.308</v>
      </c>
      <c r="Y66" s="189">
        <f t="shared" si="70"/>
        <v>0</v>
      </c>
      <c r="Z66" s="189">
        <f t="shared" si="70"/>
        <v>3408298.308</v>
      </c>
      <c r="AA66" s="189">
        <f t="shared" si="70"/>
        <v>1200</v>
      </c>
      <c r="AB66" s="189">
        <f t="shared" si="70"/>
        <v>3409498.308</v>
      </c>
      <c r="AC66" s="189">
        <f t="shared" si="70"/>
        <v>0</v>
      </c>
      <c r="AD66" s="189">
        <f t="shared" si="70"/>
        <v>3409498.308</v>
      </c>
      <c r="AE66" s="189">
        <f t="shared" si="70"/>
        <v>0</v>
      </c>
      <c r="AF66" s="189">
        <f t="shared" si="70"/>
        <v>3409498.308</v>
      </c>
      <c r="AG66" s="189">
        <f t="shared" si="70"/>
        <v>40500</v>
      </c>
      <c r="AH66" s="189">
        <f t="shared" si="70"/>
        <v>3449998.308</v>
      </c>
      <c r="AI66" s="189">
        <f t="shared" si="70"/>
        <v>0</v>
      </c>
      <c r="AJ66" s="189">
        <f t="shared" si="70"/>
        <v>3449998.308</v>
      </c>
      <c r="AK66" s="189">
        <f t="shared" si="70"/>
        <v>-660</v>
      </c>
      <c r="AL66" s="189">
        <f t="shared" si="70"/>
        <v>3449338.308</v>
      </c>
      <c r="AM66" s="189">
        <f t="shared" si="70"/>
        <v>0</v>
      </c>
      <c r="AN66" s="189">
        <f t="shared" si="70"/>
        <v>3449338.308</v>
      </c>
      <c r="AO66" s="189">
        <f t="shared" si="70"/>
        <v>2614004</v>
      </c>
      <c r="AP66" s="221">
        <f t="shared" si="70"/>
        <v>2674221</v>
      </c>
      <c r="AQ66" s="249">
        <f t="shared" si="70"/>
        <v>3061768</v>
      </c>
      <c r="AR66" s="276"/>
      <c r="AS66" s="244">
        <f t="shared" si="14"/>
        <v>3061768</v>
      </c>
      <c r="AT66" s="158"/>
      <c r="AU66" s="103"/>
      <c r="AV66" s="103"/>
      <c r="AW66" s="131"/>
      <c r="AX66" s="127"/>
    </row>
    <row r="67" spans="1:50" ht="12.75" hidden="1">
      <c r="A67" s="31">
        <v>75022</v>
      </c>
      <c r="B67" s="26"/>
      <c r="C67" s="19" t="s">
        <v>33</v>
      </c>
      <c r="D67" s="190">
        <f aca="true" t="shared" si="71" ref="D67:J67">SUM(D68:D72)</f>
        <v>139500</v>
      </c>
      <c r="E67" s="190">
        <f t="shared" si="71"/>
        <v>0</v>
      </c>
      <c r="F67" s="190">
        <f t="shared" si="71"/>
        <v>139500</v>
      </c>
      <c r="G67" s="190">
        <f t="shared" si="71"/>
        <v>0</v>
      </c>
      <c r="H67" s="190">
        <f t="shared" si="71"/>
        <v>139500</v>
      </c>
      <c r="I67" s="190">
        <f t="shared" si="71"/>
        <v>0</v>
      </c>
      <c r="J67" s="190">
        <f t="shared" si="71"/>
        <v>139500</v>
      </c>
      <c r="K67" s="110"/>
      <c r="L67" s="190">
        <f>SUM(L68:L72)</f>
        <v>139500</v>
      </c>
      <c r="M67" s="109"/>
      <c r="N67" s="190">
        <f>SUM(N68:N72)</f>
        <v>139500</v>
      </c>
      <c r="O67" s="190"/>
      <c r="P67" s="190">
        <f>SUM(P68:P72)</f>
        <v>139500</v>
      </c>
      <c r="Q67" s="109"/>
      <c r="R67" s="190">
        <f>SUM(R68:R72)</f>
        <v>139500</v>
      </c>
      <c r="S67" s="109"/>
      <c r="T67" s="190">
        <f>SUM(T68:T72)</f>
        <v>139500</v>
      </c>
      <c r="U67" s="190">
        <f aca="true" t="shared" si="72" ref="U67:Z67">SUM(U68:U73)</f>
        <v>0</v>
      </c>
      <c r="V67" s="190">
        <f t="shared" si="72"/>
        <v>139500</v>
      </c>
      <c r="W67" s="190">
        <f t="shared" si="72"/>
        <v>0</v>
      </c>
      <c r="X67" s="190">
        <f t="shared" si="72"/>
        <v>139500</v>
      </c>
      <c r="Y67" s="190">
        <f t="shared" si="72"/>
        <v>0</v>
      </c>
      <c r="Z67" s="190">
        <f t="shared" si="72"/>
        <v>139500</v>
      </c>
      <c r="AA67" s="190">
        <f aca="true" t="shared" si="73" ref="AA67:AF67">SUM(AA68:AA73)</f>
        <v>1200</v>
      </c>
      <c r="AB67" s="190">
        <f t="shared" si="73"/>
        <v>140700</v>
      </c>
      <c r="AC67" s="190">
        <f t="shared" si="73"/>
        <v>0</v>
      </c>
      <c r="AD67" s="190">
        <f t="shared" si="73"/>
        <v>140700</v>
      </c>
      <c r="AE67" s="190">
        <f t="shared" si="73"/>
        <v>0</v>
      </c>
      <c r="AF67" s="190">
        <f t="shared" si="73"/>
        <v>140700</v>
      </c>
      <c r="AG67" s="191">
        <f aca="true" t="shared" si="74" ref="AG67:AL67">SUM(AG68:AG73)</f>
        <v>0</v>
      </c>
      <c r="AH67" s="190">
        <f t="shared" si="74"/>
        <v>140700</v>
      </c>
      <c r="AI67" s="190">
        <f t="shared" si="74"/>
        <v>0</v>
      </c>
      <c r="AJ67" s="190">
        <f t="shared" si="74"/>
        <v>140700</v>
      </c>
      <c r="AK67" s="190">
        <f t="shared" si="74"/>
        <v>-4000</v>
      </c>
      <c r="AL67" s="190">
        <f t="shared" si="74"/>
        <v>136700</v>
      </c>
      <c r="AM67" s="190">
        <f>SUM(AM68:AM73)</f>
        <v>0</v>
      </c>
      <c r="AN67" s="190">
        <f>SUM(AN68:AN73)</f>
        <v>136700</v>
      </c>
      <c r="AO67" s="190">
        <f>SUM(AO68:AO73)</f>
        <v>135413</v>
      </c>
      <c r="AP67" s="81">
        <f>SUM(AP68:AP73)</f>
        <v>103867</v>
      </c>
      <c r="AQ67" s="247">
        <f>SUM(AQ68:AQ73)</f>
        <v>143500</v>
      </c>
      <c r="AR67" s="274"/>
      <c r="AS67" s="244">
        <f t="shared" si="14"/>
        <v>143500</v>
      </c>
      <c r="AT67" s="158"/>
      <c r="AU67" s="103"/>
      <c r="AV67" s="103"/>
      <c r="AW67" s="131"/>
      <c r="AX67" s="127"/>
    </row>
    <row r="68" spans="1:52" ht="12.75" hidden="1">
      <c r="A68" s="21"/>
      <c r="B68" s="27">
        <v>3030</v>
      </c>
      <c r="C68" s="18" t="s">
        <v>34</v>
      </c>
      <c r="D68" s="104">
        <v>130000</v>
      </c>
      <c r="E68" s="106"/>
      <c r="F68" s="106">
        <f>D68+E68</f>
        <v>130000</v>
      </c>
      <c r="G68" s="109"/>
      <c r="H68" s="106">
        <f>G68+F68</f>
        <v>130000</v>
      </c>
      <c r="I68" s="109"/>
      <c r="J68" s="106">
        <f>I68+H68</f>
        <v>130000</v>
      </c>
      <c r="K68" s="110"/>
      <c r="L68" s="106">
        <f>K68+H68</f>
        <v>130000</v>
      </c>
      <c r="M68" s="109"/>
      <c r="N68" s="106">
        <f>M68+L68</f>
        <v>130000</v>
      </c>
      <c r="O68" s="106"/>
      <c r="P68" s="106">
        <f>O68+N68</f>
        <v>130000</v>
      </c>
      <c r="Q68" s="109"/>
      <c r="R68" s="106">
        <f>Q68+P68</f>
        <v>130000</v>
      </c>
      <c r="S68" s="109"/>
      <c r="T68" s="106">
        <f>S68+R68</f>
        <v>130000</v>
      </c>
      <c r="U68" s="109"/>
      <c r="V68" s="106">
        <f aca="true" t="shared" si="75" ref="V68:V73">U68+T68</f>
        <v>130000</v>
      </c>
      <c r="W68" s="109"/>
      <c r="X68" s="106">
        <f aca="true" t="shared" si="76" ref="X68:X73">W68+V68</f>
        <v>130000</v>
      </c>
      <c r="Y68" s="109"/>
      <c r="Z68" s="106">
        <f aca="true" t="shared" si="77" ref="Z68:Z73">Y68+X68</f>
        <v>130000</v>
      </c>
      <c r="AA68" s="109">
        <v>1600</v>
      </c>
      <c r="AB68" s="106">
        <f aca="true" t="shared" si="78" ref="AB68:AB73">AA68+Z68</f>
        <v>131600</v>
      </c>
      <c r="AC68" s="109"/>
      <c r="AD68" s="106">
        <f aca="true" t="shared" si="79" ref="AD68:AD73">AC68+AB68</f>
        <v>131600</v>
      </c>
      <c r="AE68" s="109"/>
      <c r="AF68" s="106">
        <f aca="true" t="shared" si="80" ref="AF68:AF73">AE68+AD68</f>
        <v>131600</v>
      </c>
      <c r="AG68" s="147"/>
      <c r="AH68" s="106">
        <f aca="true" t="shared" si="81" ref="AH68:AH73">AG68+AF68</f>
        <v>131600</v>
      </c>
      <c r="AI68" s="109"/>
      <c r="AJ68" s="106">
        <f aca="true" t="shared" si="82" ref="AJ68:AJ73">AI68+AH68</f>
        <v>131600</v>
      </c>
      <c r="AK68" s="109"/>
      <c r="AL68" s="106">
        <f aca="true" t="shared" si="83" ref="AL68:AL73">AK68+AJ68</f>
        <v>131600</v>
      </c>
      <c r="AM68" s="109"/>
      <c r="AN68" s="106">
        <f aca="true" t="shared" si="84" ref="AN68:AN73">AM68+AL68</f>
        <v>131600</v>
      </c>
      <c r="AO68" s="106">
        <v>132238</v>
      </c>
      <c r="AP68" s="113">
        <v>99706</v>
      </c>
      <c r="AQ68" s="248">
        <v>138000</v>
      </c>
      <c r="AR68" s="277"/>
      <c r="AS68" s="244">
        <f t="shared" si="14"/>
        <v>138000</v>
      </c>
      <c r="AT68" s="158"/>
      <c r="AU68" s="103"/>
      <c r="AV68" s="103"/>
      <c r="AW68" s="131"/>
      <c r="AX68" s="127"/>
      <c r="AZ68">
        <f>3*8*50</f>
        <v>1200</v>
      </c>
    </row>
    <row r="69" spans="1:50" ht="12.75" hidden="1">
      <c r="A69" s="21"/>
      <c r="B69" s="27">
        <v>4210</v>
      </c>
      <c r="C69" s="18" t="s">
        <v>14</v>
      </c>
      <c r="D69" s="104">
        <v>4000</v>
      </c>
      <c r="E69" s="106"/>
      <c r="F69" s="106">
        <f>D69+E69</f>
        <v>4000</v>
      </c>
      <c r="G69" s="109"/>
      <c r="H69" s="106">
        <f>G69+F69</f>
        <v>4000</v>
      </c>
      <c r="I69" s="109"/>
      <c r="J69" s="106">
        <f>I69+H69</f>
        <v>4000</v>
      </c>
      <c r="K69" s="110"/>
      <c r="L69" s="106">
        <f>K69+H69</f>
        <v>4000</v>
      </c>
      <c r="M69" s="109"/>
      <c r="N69" s="106">
        <f>M69+L69</f>
        <v>4000</v>
      </c>
      <c r="O69" s="106"/>
      <c r="P69" s="106">
        <f>O69+N69</f>
        <v>4000</v>
      </c>
      <c r="Q69" s="109"/>
      <c r="R69" s="106">
        <f>Q69+P69</f>
        <v>4000</v>
      </c>
      <c r="S69" s="109"/>
      <c r="T69" s="106">
        <f>S69+R69</f>
        <v>4000</v>
      </c>
      <c r="U69" s="109"/>
      <c r="V69" s="106">
        <f t="shared" si="75"/>
        <v>4000</v>
      </c>
      <c r="W69" s="109"/>
      <c r="X69" s="106">
        <f t="shared" si="76"/>
        <v>4000</v>
      </c>
      <c r="Y69" s="109"/>
      <c r="Z69" s="106">
        <f t="shared" si="77"/>
        <v>4000</v>
      </c>
      <c r="AA69" s="109"/>
      <c r="AB69" s="106">
        <f t="shared" si="78"/>
        <v>4000</v>
      </c>
      <c r="AC69" s="109"/>
      <c r="AD69" s="106">
        <f t="shared" si="79"/>
        <v>4000</v>
      </c>
      <c r="AE69" s="109"/>
      <c r="AF69" s="106">
        <f t="shared" si="80"/>
        <v>4000</v>
      </c>
      <c r="AG69" s="147"/>
      <c r="AH69" s="106">
        <f t="shared" si="81"/>
        <v>4000</v>
      </c>
      <c r="AI69" s="109"/>
      <c r="AJ69" s="106">
        <f t="shared" si="82"/>
        <v>4000</v>
      </c>
      <c r="AK69" s="109"/>
      <c r="AL69" s="106">
        <f t="shared" si="83"/>
        <v>4000</v>
      </c>
      <c r="AM69" s="109"/>
      <c r="AN69" s="106">
        <f t="shared" si="84"/>
        <v>4000</v>
      </c>
      <c r="AO69" s="106">
        <v>2323</v>
      </c>
      <c r="AP69" s="113">
        <v>3824</v>
      </c>
      <c r="AQ69" s="243">
        <v>4500</v>
      </c>
      <c r="AR69" s="275"/>
      <c r="AS69" s="244">
        <f t="shared" si="14"/>
        <v>4500</v>
      </c>
      <c r="AT69" s="158"/>
      <c r="AU69" s="103"/>
      <c r="AV69" s="103"/>
      <c r="AW69" s="131"/>
      <c r="AX69" s="127"/>
    </row>
    <row r="70" spans="1:50" ht="12.75" hidden="1">
      <c r="A70" s="21"/>
      <c r="B70" s="27">
        <v>4300</v>
      </c>
      <c r="C70" s="18" t="s">
        <v>15</v>
      </c>
      <c r="D70" s="104">
        <v>1000</v>
      </c>
      <c r="E70" s="106"/>
      <c r="F70" s="106">
        <f>D70+E70</f>
        <v>1000</v>
      </c>
      <c r="G70" s="109"/>
      <c r="H70" s="106">
        <f>G70+F70</f>
        <v>1000</v>
      </c>
      <c r="I70" s="109"/>
      <c r="J70" s="106">
        <f>I70+H70</f>
        <v>1000</v>
      </c>
      <c r="K70" s="110"/>
      <c r="L70" s="106">
        <f>K70+H70</f>
        <v>1000</v>
      </c>
      <c r="M70" s="109"/>
      <c r="N70" s="106">
        <f>M70+L70</f>
        <v>1000</v>
      </c>
      <c r="O70" s="106"/>
      <c r="P70" s="106">
        <f>O70+N70</f>
        <v>1000</v>
      </c>
      <c r="Q70" s="109"/>
      <c r="R70" s="106">
        <f>Q70+P70</f>
        <v>1000</v>
      </c>
      <c r="S70" s="109"/>
      <c r="T70" s="106">
        <f>S70+R70</f>
        <v>1000</v>
      </c>
      <c r="U70" s="109"/>
      <c r="V70" s="106">
        <f t="shared" si="75"/>
        <v>1000</v>
      </c>
      <c r="W70" s="109"/>
      <c r="X70" s="106">
        <f t="shared" si="76"/>
        <v>1000</v>
      </c>
      <c r="Y70" s="109"/>
      <c r="Z70" s="106">
        <f t="shared" si="77"/>
        <v>1000</v>
      </c>
      <c r="AA70" s="109"/>
      <c r="AB70" s="106">
        <f t="shared" si="78"/>
        <v>1000</v>
      </c>
      <c r="AC70" s="109"/>
      <c r="AD70" s="106">
        <f t="shared" si="79"/>
        <v>1000</v>
      </c>
      <c r="AE70" s="109"/>
      <c r="AF70" s="106">
        <f t="shared" si="80"/>
        <v>1000</v>
      </c>
      <c r="AG70" s="147"/>
      <c r="AH70" s="106">
        <f t="shared" si="81"/>
        <v>1000</v>
      </c>
      <c r="AI70" s="109"/>
      <c r="AJ70" s="106">
        <f t="shared" si="82"/>
        <v>1000</v>
      </c>
      <c r="AK70" s="109"/>
      <c r="AL70" s="106">
        <f t="shared" si="83"/>
        <v>1000</v>
      </c>
      <c r="AM70" s="109"/>
      <c r="AN70" s="106">
        <f t="shared" si="84"/>
        <v>1000</v>
      </c>
      <c r="AO70" s="106">
        <v>574</v>
      </c>
      <c r="AP70" s="113">
        <v>315</v>
      </c>
      <c r="AQ70" s="243">
        <v>1000</v>
      </c>
      <c r="AR70" s="275"/>
      <c r="AS70" s="244">
        <f t="shared" si="14"/>
        <v>1000</v>
      </c>
      <c r="AT70" s="158"/>
      <c r="AU70" s="103"/>
      <c r="AV70" s="103"/>
      <c r="AW70" s="131"/>
      <c r="AX70" s="127"/>
    </row>
    <row r="71" spans="1:50" ht="12.75" hidden="1">
      <c r="A71" s="21"/>
      <c r="B71" s="27">
        <v>4410</v>
      </c>
      <c r="C71" s="18" t="s">
        <v>48</v>
      </c>
      <c r="D71" s="104">
        <v>500</v>
      </c>
      <c r="E71" s="106"/>
      <c r="F71" s="106">
        <f>D71+E71</f>
        <v>500</v>
      </c>
      <c r="G71" s="109"/>
      <c r="H71" s="106">
        <f>G71+F71</f>
        <v>500</v>
      </c>
      <c r="I71" s="109"/>
      <c r="J71" s="106">
        <f>I71+H71</f>
        <v>500</v>
      </c>
      <c r="K71" s="110"/>
      <c r="L71" s="106">
        <f>K71+H71</f>
        <v>500</v>
      </c>
      <c r="M71" s="109"/>
      <c r="N71" s="106">
        <f>M71+L71</f>
        <v>500</v>
      </c>
      <c r="O71" s="106"/>
      <c r="P71" s="106">
        <f>O71+N71</f>
        <v>500</v>
      </c>
      <c r="Q71" s="109"/>
      <c r="R71" s="106">
        <f>Q71+P71</f>
        <v>500</v>
      </c>
      <c r="S71" s="109"/>
      <c r="T71" s="106">
        <f>S71+R71</f>
        <v>500</v>
      </c>
      <c r="U71" s="109">
        <v>-100</v>
      </c>
      <c r="V71" s="106">
        <f t="shared" si="75"/>
        <v>400</v>
      </c>
      <c r="W71" s="109"/>
      <c r="X71" s="106">
        <f t="shared" si="76"/>
        <v>400</v>
      </c>
      <c r="Y71" s="109"/>
      <c r="Z71" s="106">
        <f t="shared" si="77"/>
        <v>400</v>
      </c>
      <c r="AA71" s="109">
        <v>-400</v>
      </c>
      <c r="AB71" s="106">
        <f t="shared" si="78"/>
        <v>0</v>
      </c>
      <c r="AC71" s="109"/>
      <c r="AD71" s="106">
        <f t="shared" si="79"/>
        <v>0</v>
      </c>
      <c r="AE71" s="109"/>
      <c r="AF71" s="106">
        <f t="shared" si="80"/>
        <v>0</v>
      </c>
      <c r="AG71" s="147"/>
      <c r="AH71" s="106">
        <f t="shared" si="81"/>
        <v>0</v>
      </c>
      <c r="AI71" s="109"/>
      <c r="AJ71" s="106">
        <f t="shared" si="82"/>
        <v>0</v>
      </c>
      <c r="AK71" s="109"/>
      <c r="AL71" s="106">
        <f t="shared" si="83"/>
        <v>0</v>
      </c>
      <c r="AM71" s="109"/>
      <c r="AN71" s="106">
        <f t="shared" si="84"/>
        <v>0</v>
      </c>
      <c r="AO71" s="106">
        <v>178</v>
      </c>
      <c r="AP71" s="113">
        <v>0</v>
      </c>
      <c r="AQ71" s="250">
        <v>0</v>
      </c>
      <c r="AR71" s="278"/>
      <c r="AS71" s="244">
        <f t="shared" si="14"/>
        <v>0</v>
      </c>
      <c r="AT71" s="158"/>
      <c r="AU71" s="103"/>
      <c r="AV71" s="103"/>
      <c r="AW71" s="131"/>
      <c r="AX71" s="127"/>
    </row>
    <row r="72" spans="1:50" ht="12.75" hidden="1">
      <c r="A72" s="21"/>
      <c r="B72" s="27">
        <v>4430</v>
      </c>
      <c r="C72" s="18" t="s">
        <v>16</v>
      </c>
      <c r="D72" s="104">
        <v>4000</v>
      </c>
      <c r="E72" s="106"/>
      <c r="F72" s="106">
        <f>D72+E72</f>
        <v>4000</v>
      </c>
      <c r="G72" s="109"/>
      <c r="H72" s="106">
        <f>G72+F72</f>
        <v>4000</v>
      </c>
      <c r="I72" s="109"/>
      <c r="J72" s="106">
        <f>I72+H72</f>
        <v>4000</v>
      </c>
      <c r="K72" s="110"/>
      <c r="L72" s="106">
        <f>K72+H72</f>
        <v>4000</v>
      </c>
      <c r="M72" s="109"/>
      <c r="N72" s="106">
        <f>M72+L72</f>
        <v>4000</v>
      </c>
      <c r="O72" s="106"/>
      <c r="P72" s="106">
        <f>O72+N72</f>
        <v>4000</v>
      </c>
      <c r="Q72" s="109"/>
      <c r="R72" s="106">
        <f>Q72+P72</f>
        <v>4000</v>
      </c>
      <c r="S72" s="109"/>
      <c r="T72" s="106">
        <f>S72+R72</f>
        <v>4000</v>
      </c>
      <c r="U72" s="109"/>
      <c r="V72" s="106">
        <f t="shared" si="75"/>
        <v>4000</v>
      </c>
      <c r="W72" s="109"/>
      <c r="X72" s="106">
        <f t="shared" si="76"/>
        <v>4000</v>
      </c>
      <c r="Y72" s="109"/>
      <c r="Z72" s="106">
        <f t="shared" si="77"/>
        <v>4000</v>
      </c>
      <c r="AA72" s="109"/>
      <c r="AB72" s="106">
        <f t="shared" si="78"/>
        <v>4000</v>
      </c>
      <c r="AC72" s="109"/>
      <c r="AD72" s="106">
        <f t="shared" si="79"/>
        <v>4000</v>
      </c>
      <c r="AE72" s="109"/>
      <c r="AF72" s="106">
        <f t="shared" si="80"/>
        <v>4000</v>
      </c>
      <c r="AG72" s="147"/>
      <c r="AH72" s="106">
        <f t="shared" si="81"/>
        <v>4000</v>
      </c>
      <c r="AI72" s="109"/>
      <c r="AJ72" s="106">
        <f t="shared" si="82"/>
        <v>4000</v>
      </c>
      <c r="AK72" s="109">
        <v>-4000</v>
      </c>
      <c r="AL72" s="106">
        <f t="shared" si="83"/>
        <v>0</v>
      </c>
      <c r="AM72" s="109"/>
      <c r="AN72" s="106">
        <f t="shared" si="84"/>
        <v>0</v>
      </c>
      <c r="AO72" s="106">
        <f>AN72+AM72</f>
        <v>0</v>
      </c>
      <c r="AP72" s="113">
        <f>AO72+AN72</f>
        <v>0</v>
      </c>
      <c r="AQ72" s="243">
        <f>AP72+AO72</f>
        <v>0</v>
      </c>
      <c r="AR72" s="275"/>
      <c r="AS72" s="244">
        <f t="shared" si="14"/>
        <v>0</v>
      </c>
      <c r="AT72" s="158"/>
      <c r="AU72" s="103"/>
      <c r="AV72" s="103"/>
      <c r="AW72" s="131"/>
      <c r="AX72" s="127"/>
    </row>
    <row r="73" spans="1:50" ht="15" customHeight="1" hidden="1">
      <c r="A73" s="21"/>
      <c r="B73" s="27">
        <v>4750</v>
      </c>
      <c r="C73" s="18" t="s">
        <v>53</v>
      </c>
      <c r="D73" s="104"/>
      <c r="E73" s="106"/>
      <c r="F73" s="106"/>
      <c r="G73" s="109"/>
      <c r="H73" s="106"/>
      <c r="I73" s="109"/>
      <c r="J73" s="106"/>
      <c r="K73" s="110"/>
      <c r="L73" s="106"/>
      <c r="M73" s="109"/>
      <c r="N73" s="106"/>
      <c r="O73" s="106"/>
      <c r="P73" s="106"/>
      <c r="Q73" s="109"/>
      <c r="R73" s="106"/>
      <c r="S73" s="109"/>
      <c r="T73" s="106"/>
      <c r="U73" s="109">
        <v>100</v>
      </c>
      <c r="V73" s="106">
        <f t="shared" si="75"/>
        <v>100</v>
      </c>
      <c r="W73" s="109"/>
      <c r="X73" s="106">
        <f t="shared" si="76"/>
        <v>100</v>
      </c>
      <c r="Y73" s="109"/>
      <c r="Z73" s="106">
        <f t="shared" si="77"/>
        <v>100</v>
      </c>
      <c r="AA73" s="109"/>
      <c r="AB73" s="106">
        <f t="shared" si="78"/>
        <v>100</v>
      </c>
      <c r="AC73" s="109"/>
      <c r="AD73" s="106">
        <f t="shared" si="79"/>
        <v>100</v>
      </c>
      <c r="AE73" s="109"/>
      <c r="AF73" s="106">
        <f t="shared" si="80"/>
        <v>100</v>
      </c>
      <c r="AG73" s="147"/>
      <c r="AH73" s="106">
        <f t="shared" si="81"/>
        <v>100</v>
      </c>
      <c r="AI73" s="109"/>
      <c r="AJ73" s="106">
        <f t="shared" si="82"/>
        <v>100</v>
      </c>
      <c r="AK73" s="109"/>
      <c r="AL73" s="106">
        <f t="shared" si="83"/>
        <v>100</v>
      </c>
      <c r="AM73" s="109"/>
      <c r="AN73" s="106">
        <f t="shared" si="84"/>
        <v>100</v>
      </c>
      <c r="AO73" s="106">
        <f>AN73+AM73</f>
        <v>100</v>
      </c>
      <c r="AP73" s="113">
        <v>22</v>
      </c>
      <c r="AQ73" s="243">
        <v>0</v>
      </c>
      <c r="AR73" s="275"/>
      <c r="AS73" s="244">
        <f t="shared" si="14"/>
        <v>0</v>
      </c>
      <c r="AT73" s="158"/>
      <c r="AU73" s="103"/>
      <c r="AV73" s="103"/>
      <c r="AW73" s="131"/>
      <c r="AX73" s="127"/>
    </row>
    <row r="74" spans="1:50" ht="12.75" hidden="1">
      <c r="A74" s="31">
        <v>75023</v>
      </c>
      <c r="B74" s="26"/>
      <c r="C74" s="19" t="s">
        <v>35</v>
      </c>
      <c r="D74" s="190">
        <f aca="true" t="shared" si="85" ref="D74:L74">SUM(D75:D99)</f>
        <v>2675298.308</v>
      </c>
      <c r="E74" s="190">
        <f t="shared" si="85"/>
        <v>0</v>
      </c>
      <c r="F74" s="190">
        <f t="shared" si="85"/>
        <v>2675298.308</v>
      </c>
      <c r="G74" s="190">
        <f t="shared" si="85"/>
        <v>0</v>
      </c>
      <c r="H74" s="190">
        <f t="shared" si="85"/>
        <v>2675298.308</v>
      </c>
      <c r="I74" s="190">
        <f t="shared" si="85"/>
        <v>0</v>
      </c>
      <c r="J74" s="190">
        <f t="shared" si="85"/>
        <v>2675298.308</v>
      </c>
      <c r="K74" s="190">
        <f t="shared" si="85"/>
        <v>0</v>
      </c>
      <c r="L74" s="190">
        <f t="shared" si="85"/>
        <v>2675298.308</v>
      </c>
      <c r="M74" s="190">
        <f>SUM(M75:M100)</f>
        <v>100000</v>
      </c>
      <c r="N74" s="190">
        <f>SUM(N75:N100)</f>
        <v>2775298.308</v>
      </c>
      <c r="O74" s="190"/>
      <c r="P74" s="190">
        <f aca="true" t="shared" si="86" ref="P74:V74">SUM(P75:P100)</f>
        <v>2775298.308</v>
      </c>
      <c r="Q74" s="190">
        <f t="shared" si="86"/>
        <v>364000</v>
      </c>
      <c r="R74" s="190">
        <f t="shared" si="86"/>
        <v>3139298.308</v>
      </c>
      <c r="S74" s="190">
        <f t="shared" si="86"/>
        <v>0</v>
      </c>
      <c r="T74" s="190">
        <f t="shared" si="86"/>
        <v>3139298.308</v>
      </c>
      <c r="U74" s="190">
        <f t="shared" si="86"/>
        <v>6000</v>
      </c>
      <c r="V74" s="190">
        <f t="shared" si="86"/>
        <v>3145298.308</v>
      </c>
      <c r="W74" s="190">
        <f aca="true" t="shared" si="87" ref="W74:AB74">SUM(W75:W100)</f>
        <v>0</v>
      </c>
      <c r="X74" s="190">
        <f t="shared" si="87"/>
        <v>3145298.308</v>
      </c>
      <c r="Y74" s="190">
        <f t="shared" si="87"/>
        <v>0</v>
      </c>
      <c r="Z74" s="190">
        <f t="shared" si="87"/>
        <v>3145298.308</v>
      </c>
      <c r="AA74" s="190">
        <f t="shared" si="87"/>
        <v>0</v>
      </c>
      <c r="AB74" s="190">
        <f t="shared" si="87"/>
        <v>3145298.308</v>
      </c>
      <c r="AC74" s="190">
        <f aca="true" t="shared" si="88" ref="AC74:AH74">SUM(AC75:AC100)</f>
        <v>0</v>
      </c>
      <c r="AD74" s="190">
        <f t="shared" si="88"/>
        <v>3145298.308</v>
      </c>
      <c r="AE74" s="190">
        <f t="shared" si="88"/>
        <v>0</v>
      </c>
      <c r="AF74" s="190">
        <f t="shared" si="88"/>
        <v>3145298.308</v>
      </c>
      <c r="AG74" s="191">
        <f t="shared" si="88"/>
        <v>40000</v>
      </c>
      <c r="AH74" s="190">
        <f t="shared" si="88"/>
        <v>3185298.308</v>
      </c>
      <c r="AI74" s="190">
        <f aca="true" t="shared" si="89" ref="AI74:AN74">SUM(AI75:AI100)</f>
        <v>0</v>
      </c>
      <c r="AJ74" s="190">
        <f t="shared" si="89"/>
        <v>3185298.308</v>
      </c>
      <c r="AK74" s="190">
        <f t="shared" si="89"/>
        <v>9290</v>
      </c>
      <c r="AL74" s="190">
        <f t="shared" si="89"/>
        <v>3194588.308</v>
      </c>
      <c r="AM74" s="190">
        <f t="shared" si="89"/>
        <v>0</v>
      </c>
      <c r="AN74" s="190">
        <f t="shared" si="89"/>
        <v>3194588.308</v>
      </c>
      <c r="AO74" s="190">
        <f>SUM(AO75:AO100)</f>
        <v>2399069</v>
      </c>
      <c r="AP74" s="81">
        <f>SUM(AP75:AP100)</f>
        <v>2488894</v>
      </c>
      <c r="AQ74" s="247">
        <f>SUM(AQ75:AQ100)</f>
        <v>2815168</v>
      </c>
      <c r="AR74" s="274"/>
      <c r="AS74" s="244">
        <f t="shared" si="14"/>
        <v>2815168</v>
      </c>
      <c r="AT74" s="158"/>
      <c r="AU74" s="103"/>
      <c r="AV74" s="103"/>
      <c r="AW74" s="131"/>
      <c r="AX74" s="127"/>
    </row>
    <row r="75" spans="1:50" ht="12.75" hidden="1">
      <c r="A75" s="21"/>
      <c r="B75" s="27">
        <v>3020</v>
      </c>
      <c r="C75" s="18" t="s">
        <v>36</v>
      </c>
      <c r="D75" s="104">
        <v>11500</v>
      </c>
      <c r="E75" s="106"/>
      <c r="F75" s="106">
        <f aca="true" t="shared" si="90" ref="F75:F89">D75+E75</f>
        <v>11500</v>
      </c>
      <c r="G75" s="109"/>
      <c r="H75" s="106">
        <f aca="true" t="shared" si="91" ref="H75:H99">G75+F75</f>
        <v>11500</v>
      </c>
      <c r="I75" s="109"/>
      <c r="J75" s="106">
        <f aca="true" t="shared" si="92" ref="J75:J99">I75+H75</f>
        <v>11500</v>
      </c>
      <c r="K75" s="110"/>
      <c r="L75" s="106">
        <f aca="true" t="shared" si="93" ref="L75:L99">K75+H75</f>
        <v>11500</v>
      </c>
      <c r="M75" s="109"/>
      <c r="N75" s="106">
        <f aca="true" t="shared" si="94" ref="N75:R100">M75+L75</f>
        <v>11500</v>
      </c>
      <c r="O75" s="106"/>
      <c r="P75" s="106">
        <f t="shared" si="94"/>
        <v>11500</v>
      </c>
      <c r="Q75" s="109"/>
      <c r="R75" s="106">
        <f t="shared" si="94"/>
        <v>11500</v>
      </c>
      <c r="S75" s="109"/>
      <c r="T75" s="106">
        <f aca="true" t="shared" si="95" ref="T75:T100">S75+R75</f>
        <v>11500</v>
      </c>
      <c r="U75" s="109"/>
      <c r="V75" s="106">
        <f aca="true" t="shared" si="96" ref="V75:V100">U75+T75</f>
        <v>11500</v>
      </c>
      <c r="W75" s="109"/>
      <c r="X75" s="106">
        <f aca="true" t="shared" si="97" ref="X75:X100">W75+V75</f>
        <v>11500</v>
      </c>
      <c r="Y75" s="109"/>
      <c r="Z75" s="106">
        <f aca="true" t="shared" si="98" ref="Z75:Z100">Y75+X75</f>
        <v>11500</v>
      </c>
      <c r="AA75" s="109"/>
      <c r="AB75" s="106">
        <f aca="true" t="shared" si="99" ref="AB75:AB100">AA75+Z75</f>
        <v>11500</v>
      </c>
      <c r="AC75" s="109"/>
      <c r="AD75" s="106">
        <f aca="true" t="shared" si="100" ref="AD75:AD100">AC75+AB75</f>
        <v>11500</v>
      </c>
      <c r="AE75" s="109"/>
      <c r="AF75" s="106">
        <f aca="true" t="shared" si="101" ref="AF75:AF100">AE75+AD75</f>
        <v>11500</v>
      </c>
      <c r="AG75" s="147"/>
      <c r="AH75" s="106">
        <f aca="true" t="shared" si="102" ref="AH75:AH100">AG75+AF75</f>
        <v>11500</v>
      </c>
      <c r="AI75" s="109"/>
      <c r="AJ75" s="106">
        <f aca="true" t="shared" si="103" ref="AJ75:AJ100">AI75+AH75</f>
        <v>11500</v>
      </c>
      <c r="AK75" s="109">
        <v>5000</v>
      </c>
      <c r="AL75" s="106">
        <f aca="true" t="shared" si="104" ref="AL75:AL100">AK75+AJ75</f>
        <v>16500</v>
      </c>
      <c r="AM75" s="109"/>
      <c r="AN75" s="106">
        <f aca="true" t="shared" si="105" ref="AN75:AN100">AM75+AL75</f>
        <v>16500</v>
      </c>
      <c r="AO75" s="106">
        <v>14519</v>
      </c>
      <c r="AP75" s="113">
        <f>8479+130+139+755</f>
        <v>9503</v>
      </c>
      <c r="AQ75" s="243">
        <v>16500</v>
      </c>
      <c r="AR75" s="275"/>
      <c r="AS75" s="244">
        <f t="shared" si="14"/>
        <v>16500</v>
      </c>
      <c r="AT75" s="158"/>
      <c r="AU75" s="103"/>
      <c r="AV75" s="103"/>
      <c r="AW75" s="131"/>
      <c r="AX75" s="127"/>
    </row>
    <row r="76" spans="1:50" ht="12.75" hidden="1">
      <c r="A76" s="21"/>
      <c r="B76" s="27">
        <v>4010</v>
      </c>
      <c r="C76" s="18" t="s">
        <v>37</v>
      </c>
      <c r="D76" s="104">
        <v>1573000</v>
      </c>
      <c r="E76" s="106"/>
      <c r="F76" s="106">
        <f t="shared" si="90"/>
        <v>1573000</v>
      </c>
      <c r="G76" s="109"/>
      <c r="H76" s="106">
        <f t="shared" si="91"/>
        <v>1573000</v>
      </c>
      <c r="I76" s="109"/>
      <c r="J76" s="106">
        <f t="shared" si="92"/>
        <v>1573000</v>
      </c>
      <c r="K76" s="110"/>
      <c r="L76" s="106">
        <f t="shared" si="93"/>
        <v>1573000</v>
      </c>
      <c r="M76" s="109"/>
      <c r="N76" s="106">
        <f t="shared" si="94"/>
        <v>1573000</v>
      </c>
      <c r="O76" s="106"/>
      <c r="P76" s="106">
        <f t="shared" si="94"/>
        <v>1573000</v>
      </c>
      <c r="Q76" s="109"/>
      <c r="R76" s="106">
        <f t="shared" si="94"/>
        <v>1573000</v>
      </c>
      <c r="S76" s="109"/>
      <c r="T76" s="106">
        <f t="shared" si="95"/>
        <v>1573000</v>
      </c>
      <c r="U76" s="109">
        <v>6000</v>
      </c>
      <c r="V76" s="106">
        <f t="shared" si="96"/>
        <v>1579000</v>
      </c>
      <c r="W76" s="109"/>
      <c r="X76" s="106">
        <f t="shared" si="97"/>
        <v>1579000</v>
      </c>
      <c r="Y76" s="109"/>
      <c r="Z76" s="106">
        <f t="shared" si="98"/>
        <v>1579000</v>
      </c>
      <c r="AA76" s="109"/>
      <c r="AB76" s="106">
        <f t="shared" si="99"/>
        <v>1579000</v>
      </c>
      <c r="AC76" s="109"/>
      <c r="AD76" s="106">
        <f t="shared" si="100"/>
        <v>1579000</v>
      </c>
      <c r="AE76" s="109"/>
      <c r="AF76" s="106">
        <f t="shared" si="101"/>
        <v>1579000</v>
      </c>
      <c r="AG76" s="147"/>
      <c r="AH76" s="106">
        <f t="shared" si="102"/>
        <v>1579000</v>
      </c>
      <c r="AI76" s="109"/>
      <c r="AJ76" s="106">
        <f t="shared" si="103"/>
        <v>1579000</v>
      </c>
      <c r="AK76" s="109">
        <v>7940</v>
      </c>
      <c r="AL76" s="106">
        <f t="shared" si="104"/>
        <v>1586940</v>
      </c>
      <c r="AM76" s="109"/>
      <c r="AN76" s="106">
        <f t="shared" si="105"/>
        <v>1586940</v>
      </c>
      <c r="AO76" s="106">
        <v>1415251</v>
      </c>
      <c r="AP76" s="113">
        <v>1169989</v>
      </c>
      <c r="AQ76" s="243">
        <f>12*138559+30735+215+354-30744</f>
        <v>1663268</v>
      </c>
      <c r="AR76" s="275"/>
      <c r="AS76" s="244">
        <f t="shared" si="14"/>
        <v>1663268</v>
      </c>
      <c r="AT76" s="158"/>
      <c r="AU76" s="103"/>
      <c r="AV76" s="103"/>
      <c r="AW76" s="131"/>
      <c r="AX76" s="127"/>
    </row>
    <row r="77" spans="1:50" ht="12.75" hidden="1">
      <c r="A77" s="21"/>
      <c r="B77" s="27">
        <v>4040</v>
      </c>
      <c r="C77" s="18" t="s">
        <v>38</v>
      </c>
      <c r="D77" s="104">
        <f>113600+(D81*15.1%)</f>
        <v>116016</v>
      </c>
      <c r="E77" s="106"/>
      <c r="F77" s="106">
        <f t="shared" si="90"/>
        <v>116016</v>
      </c>
      <c r="G77" s="109"/>
      <c r="H77" s="106">
        <f t="shared" si="91"/>
        <v>116016</v>
      </c>
      <c r="I77" s="109"/>
      <c r="J77" s="106">
        <f t="shared" si="92"/>
        <v>116016</v>
      </c>
      <c r="K77" s="110"/>
      <c r="L77" s="106">
        <f t="shared" si="93"/>
        <v>116016</v>
      </c>
      <c r="M77" s="109"/>
      <c r="N77" s="106">
        <f t="shared" si="94"/>
        <v>116016</v>
      </c>
      <c r="O77" s="106"/>
      <c r="P77" s="106">
        <f t="shared" si="94"/>
        <v>116016</v>
      </c>
      <c r="Q77" s="109"/>
      <c r="R77" s="106">
        <f t="shared" si="94"/>
        <v>116016</v>
      </c>
      <c r="S77" s="109"/>
      <c r="T77" s="106">
        <f t="shared" si="95"/>
        <v>116016</v>
      </c>
      <c r="U77" s="109"/>
      <c r="V77" s="106">
        <f t="shared" si="96"/>
        <v>116016</v>
      </c>
      <c r="W77" s="109"/>
      <c r="X77" s="106">
        <f t="shared" si="97"/>
        <v>116016</v>
      </c>
      <c r="Y77" s="109"/>
      <c r="Z77" s="106">
        <f t="shared" si="98"/>
        <v>116016</v>
      </c>
      <c r="AA77" s="109"/>
      <c r="AB77" s="106">
        <f t="shared" si="99"/>
        <v>116016</v>
      </c>
      <c r="AC77" s="109"/>
      <c r="AD77" s="106">
        <f t="shared" si="100"/>
        <v>116016</v>
      </c>
      <c r="AE77" s="109"/>
      <c r="AF77" s="106">
        <f t="shared" si="101"/>
        <v>116016</v>
      </c>
      <c r="AG77" s="147"/>
      <c r="AH77" s="106">
        <f t="shared" si="102"/>
        <v>116016</v>
      </c>
      <c r="AI77" s="109"/>
      <c r="AJ77" s="106">
        <f t="shared" si="103"/>
        <v>116016</v>
      </c>
      <c r="AK77" s="109"/>
      <c r="AL77" s="106">
        <f t="shared" si="104"/>
        <v>116016</v>
      </c>
      <c r="AM77" s="109"/>
      <c r="AN77" s="106">
        <f t="shared" si="105"/>
        <v>116016</v>
      </c>
      <c r="AO77" s="106">
        <v>87273</v>
      </c>
      <c r="AP77" s="113">
        <v>108969</v>
      </c>
      <c r="AQ77" s="243">
        <f>144000-2613</f>
        <v>141387</v>
      </c>
      <c r="AR77" s="275"/>
      <c r="AS77" s="244">
        <f t="shared" si="14"/>
        <v>141387</v>
      </c>
      <c r="AT77" s="158"/>
      <c r="AU77" s="103"/>
      <c r="AV77" s="103">
        <f>8.5%*AN76</f>
        <v>134889.90000000002</v>
      </c>
      <c r="AW77" s="131"/>
      <c r="AX77" s="127"/>
    </row>
    <row r="78" spans="1:50" ht="12.75" hidden="1">
      <c r="A78" s="21"/>
      <c r="B78" s="27">
        <v>4110</v>
      </c>
      <c r="C78" s="18" t="s">
        <v>39</v>
      </c>
      <c r="D78" s="104">
        <f>(D76+D77+D81)*15.1%</f>
        <v>257457.416</v>
      </c>
      <c r="E78" s="106"/>
      <c r="F78" s="106">
        <f t="shared" si="90"/>
        <v>257457.416</v>
      </c>
      <c r="G78" s="109"/>
      <c r="H78" s="106">
        <f t="shared" si="91"/>
        <v>257457.416</v>
      </c>
      <c r="I78" s="109"/>
      <c r="J78" s="106">
        <f t="shared" si="92"/>
        <v>257457.416</v>
      </c>
      <c r="K78" s="110"/>
      <c r="L78" s="106">
        <f t="shared" si="93"/>
        <v>257457.416</v>
      </c>
      <c r="M78" s="109"/>
      <c r="N78" s="106">
        <f t="shared" si="94"/>
        <v>257457.416</v>
      </c>
      <c r="O78" s="106"/>
      <c r="P78" s="106">
        <f t="shared" si="94"/>
        <v>257457.416</v>
      </c>
      <c r="Q78" s="109"/>
      <c r="R78" s="106">
        <f t="shared" si="94"/>
        <v>257457.416</v>
      </c>
      <c r="S78" s="109"/>
      <c r="T78" s="106">
        <f t="shared" si="95"/>
        <v>257457.416</v>
      </c>
      <c r="U78" s="109"/>
      <c r="V78" s="106">
        <f t="shared" si="96"/>
        <v>257457.416</v>
      </c>
      <c r="W78" s="109"/>
      <c r="X78" s="106">
        <f t="shared" si="97"/>
        <v>257457.416</v>
      </c>
      <c r="Y78" s="109"/>
      <c r="Z78" s="106">
        <f t="shared" si="98"/>
        <v>257457.416</v>
      </c>
      <c r="AA78" s="109"/>
      <c r="AB78" s="106">
        <f t="shared" si="99"/>
        <v>257457.416</v>
      </c>
      <c r="AC78" s="109"/>
      <c r="AD78" s="106">
        <f t="shared" si="100"/>
        <v>257457.416</v>
      </c>
      <c r="AE78" s="109"/>
      <c r="AF78" s="106">
        <f t="shared" si="101"/>
        <v>257457.416</v>
      </c>
      <c r="AG78" s="147"/>
      <c r="AH78" s="106">
        <f t="shared" si="102"/>
        <v>257457.416</v>
      </c>
      <c r="AI78" s="109"/>
      <c r="AJ78" s="106">
        <f t="shared" si="103"/>
        <v>257457.416</v>
      </c>
      <c r="AK78" s="109"/>
      <c r="AL78" s="106">
        <f t="shared" si="104"/>
        <v>257457.416</v>
      </c>
      <c r="AM78" s="109"/>
      <c r="AN78" s="106">
        <f t="shared" si="105"/>
        <v>257457.416</v>
      </c>
      <c r="AO78" s="106">
        <v>206889</v>
      </c>
      <c r="AP78" s="113">
        <v>175528</v>
      </c>
      <c r="AQ78" s="243">
        <f>277497-9377</f>
        <v>268120</v>
      </c>
      <c r="AR78" s="275"/>
      <c r="AS78" s="244">
        <f t="shared" si="14"/>
        <v>268120</v>
      </c>
      <c r="AT78" s="158"/>
      <c r="AU78" s="103"/>
      <c r="AV78" s="103"/>
      <c r="AW78" s="131"/>
      <c r="AX78" s="127"/>
    </row>
    <row r="79" spans="1:50" ht="12.75" hidden="1">
      <c r="A79" s="21"/>
      <c r="B79" s="27">
        <v>4120</v>
      </c>
      <c r="C79" s="18" t="s">
        <v>40</v>
      </c>
      <c r="D79" s="104">
        <f>(D76+D77+D81)*2.45%</f>
        <v>41772.892</v>
      </c>
      <c r="E79" s="106"/>
      <c r="F79" s="106">
        <f t="shared" si="90"/>
        <v>41772.892</v>
      </c>
      <c r="G79" s="109"/>
      <c r="H79" s="106">
        <f t="shared" si="91"/>
        <v>41772.892</v>
      </c>
      <c r="I79" s="109"/>
      <c r="J79" s="106">
        <f t="shared" si="92"/>
        <v>41772.892</v>
      </c>
      <c r="K79" s="110"/>
      <c r="L79" s="106">
        <f t="shared" si="93"/>
        <v>41772.892</v>
      </c>
      <c r="M79" s="109"/>
      <c r="N79" s="106">
        <f t="shared" si="94"/>
        <v>41772.892</v>
      </c>
      <c r="O79" s="106"/>
      <c r="P79" s="106">
        <f t="shared" si="94"/>
        <v>41772.892</v>
      </c>
      <c r="Q79" s="109"/>
      <c r="R79" s="106">
        <f t="shared" si="94"/>
        <v>41772.892</v>
      </c>
      <c r="S79" s="109"/>
      <c r="T79" s="106">
        <f t="shared" si="95"/>
        <v>41772.892</v>
      </c>
      <c r="U79" s="109"/>
      <c r="V79" s="106">
        <f t="shared" si="96"/>
        <v>41772.892</v>
      </c>
      <c r="W79" s="109"/>
      <c r="X79" s="106">
        <f t="shared" si="97"/>
        <v>41772.892</v>
      </c>
      <c r="Y79" s="109"/>
      <c r="Z79" s="106">
        <f t="shared" si="98"/>
        <v>41772.892</v>
      </c>
      <c r="AA79" s="109"/>
      <c r="AB79" s="106">
        <f t="shared" si="99"/>
        <v>41772.892</v>
      </c>
      <c r="AC79" s="109"/>
      <c r="AD79" s="106">
        <f t="shared" si="100"/>
        <v>41772.892</v>
      </c>
      <c r="AE79" s="109"/>
      <c r="AF79" s="106">
        <f t="shared" si="101"/>
        <v>41772.892</v>
      </c>
      <c r="AG79" s="147"/>
      <c r="AH79" s="106">
        <f t="shared" si="102"/>
        <v>41772.892</v>
      </c>
      <c r="AI79" s="109"/>
      <c r="AJ79" s="106">
        <f t="shared" si="103"/>
        <v>41772.892</v>
      </c>
      <c r="AK79" s="109"/>
      <c r="AL79" s="106">
        <f t="shared" si="104"/>
        <v>41772.892</v>
      </c>
      <c r="AM79" s="109"/>
      <c r="AN79" s="106">
        <f t="shared" si="105"/>
        <v>41772.892</v>
      </c>
      <c r="AO79" s="106">
        <v>36688</v>
      </c>
      <c r="AP79" s="113">
        <v>27838</v>
      </c>
      <c r="AQ79" s="243">
        <f>45100-1521</f>
        <v>43579</v>
      </c>
      <c r="AR79" s="275"/>
      <c r="AS79" s="244">
        <f t="shared" si="14"/>
        <v>43579</v>
      </c>
      <c r="AT79" s="158"/>
      <c r="AU79" s="103"/>
      <c r="AV79" s="103"/>
      <c r="AW79" s="131"/>
      <c r="AX79" s="127"/>
    </row>
    <row r="80" spans="1:50" ht="25.5" hidden="1">
      <c r="A80" s="21"/>
      <c r="B80" s="27">
        <v>4140</v>
      </c>
      <c r="C80" s="18" t="s">
        <v>41</v>
      </c>
      <c r="D80" s="104">
        <v>26400</v>
      </c>
      <c r="E80" s="106"/>
      <c r="F80" s="106">
        <f t="shared" si="90"/>
        <v>26400</v>
      </c>
      <c r="G80" s="109"/>
      <c r="H80" s="106">
        <f t="shared" si="91"/>
        <v>26400</v>
      </c>
      <c r="I80" s="109"/>
      <c r="J80" s="106">
        <f t="shared" si="92"/>
        <v>26400</v>
      </c>
      <c r="K80" s="110"/>
      <c r="L80" s="106">
        <f t="shared" si="93"/>
        <v>26400</v>
      </c>
      <c r="M80" s="109"/>
      <c r="N80" s="106">
        <f t="shared" si="94"/>
        <v>26400</v>
      </c>
      <c r="O80" s="106"/>
      <c r="P80" s="106">
        <f t="shared" si="94"/>
        <v>26400</v>
      </c>
      <c r="Q80" s="109"/>
      <c r="R80" s="106">
        <f t="shared" si="94"/>
        <v>26400</v>
      </c>
      <c r="S80" s="109"/>
      <c r="T80" s="106">
        <f t="shared" si="95"/>
        <v>26400</v>
      </c>
      <c r="U80" s="109"/>
      <c r="V80" s="106">
        <f t="shared" si="96"/>
        <v>26400</v>
      </c>
      <c r="W80" s="109"/>
      <c r="X80" s="106">
        <f t="shared" si="97"/>
        <v>26400</v>
      </c>
      <c r="Y80" s="109"/>
      <c r="Z80" s="106">
        <f t="shared" si="98"/>
        <v>26400</v>
      </c>
      <c r="AA80" s="109"/>
      <c r="AB80" s="106">
        <f t="shared" si="99"/>
        <v>26400</v>
      </c>
      <c r="AC80" s="109"/>
      <c r="AD80" s="106">
        <f t="shared" si="100"/>
        <v>26400</v>
      </c>
      <c r="AE80" s="109"/>
      <c r="AF80" s="106">
        <f t="shared" si="101"/>
        <v>26400</v>
      </c>
      <c r="AG80" s="147"/>
      <c r="AH80" s="106">
        <f t="shared" si="102"/>
        <v>26400</v>
      </c>
      <c r="AI80" s="109"/>
      <c r="AJ80" s="106">
        <f t="shared" si="103"/>
        <v>26400</v>
      </c>
      <c r="AK80" s="109"/>
      <c r="AL80" s="106">
        <f t="shared" si="104"/>
        <v>26400</v>
      </c>
      <c r="AM80" s="109"/>
      <c r="AN80" s="106">
        <f t="shared" si="105"/>
        <v>26400</v>
      </c>
      <c r="AO80" s="106">
        <v>20513</v>
      </c>
      <c r="AP80" s="113">
        <v>19133</v>
      </c>
      <c r="AQ80" s="243">
        <v>27000</v>
      </c>
      <c r="AR80" s="275"/>
      <c r="AS80" s="244">
        <f t="shared" si="14"/>
        <v>27000</v>
      </c>
      <c r="AT80" s="158"/>
      <c r="AU80" s="103"/>
      <c r="AV80" s="103"/>
      <c r="AW80" s="131"/>
      <c r="AX80" s="127"/>
    </row>
    <row r="81" spans="1:50" ht="12.75" hidden="1">
      <c r="A81" s="21"/>
      <c r="B81" s="27">
        <v>4170</v>
      </c>
      <c r="C81" s="18" t="s">
        <v>42</v>
      </c>
      <c r="D81" s="104">
        <v>16000</v>
      </c>
      <c r="E81" s="106"/>
      <c r="F81" s="106">
        <f t="shared" si="90"/>
        <v>16000</v>
      </c>
      <c r="G81" s="109"/>
      <c r="H81" s="106">
        <f t="shared" si="91"/>
        <v>16000</v>
      </c>
      <c r="I81" s="109"/>
      <c r="J81" s="106">
        <f t="shared" si="92"/>
        <v>16000</v>
      </c>
      <c r="K81" s="110"/>
      <c r="L81" s="106">
        <f t="shared" si="93"/>
        <v>16000</v>
      </c>
      <c r="M81" s="109"/>
      <c r="N81" s="106">
        <f t="shared" si="94"/>
        <v>16000</v>
      </c>
      <c r="O81" s="106"/>
      <c r="P81" s="106">
        <f t="shared" si="94"/>
        <v>16000</v>
      </c>
      <c r="Q81" s="109"/>
      <c r="R81" s="106">
        <f t="shared" si="94"/>
        <v>16000</v>
      </c>
      <c r="S81" s="109"/>
      <c r="T81" s="106">
        <f t="shared" si="95"/>
        <v>16000</v>
      </c>
      <c r="U81" s="109"/>
      <c r="V81" s="106">
        <f t="shared" si="96"/>
        <v>16000</v>
      </c>
      <c r="W81" s="109"/>
      <c r="X81" s="106">
        <f t="shared" si="97"/>
        <v>16000</v>
      </c>
      <c r="Y81" s="109"/>
      <c r="Z81" s="106">
        <f t="shared" si="98"/>
        <v>16000</v>
      </c>
      <c r="AA81" s="109"/>
      <c r="AB81" s="106">
        <f t="shared" si="99"/>
        <v>16000</v>
      </c>
      <c r="AC81" s="109"/>
      <c r="AD81" s="106">
        <f t="shared" si="100"/>
        <v>16000</v>
      </c>
      <c r="AE81" s="109"/>
      <c r="AF81" s="106">
        <f t="shared" si="101"/>
        <v>16000</v>
      </c>
      <c r="AG81" s="147"/>
      <c r="AH81" s="106">
        <f t="shared" si="102"/>
        <v>16000</v>
      </c>
      <c r="AI81" s="109"/>
      <c r="AJ81" s="106">
        <f t="shared" si="103"/>
        <v>16000</v>
      </c>
      <c r="AK81" s="109"/>
      <c r="AL81" s="106">
        <f t="shared" si="104"/>
        <v>16000</v>
      </c>
      <c r="AM81" s="109"/>
      <c r="AN81" s="106">
        <f t="shared" si="105"/>
        <v>16000</v>
      </c>
      <c r="AO81" s="106">
        <v>21150</v>
      </c>
      <c r="AP81" s="113">
        <v>4120</v>
      </c>
      <c r="AQ81" s="243">
        <v>18000</v>
      </c>
      <c r="AR81" s="275"/>
      <c r="AS81" s="244">
        <f t="shared" si="14"/>
        <v>18000</v>
      </c>
      <c r="AT81" s="158"/>
      <c r="AU81" s="103">
        <f>2*6*1317</f>
        <v>15804</v>
      </c>
      <c r="AV81" s="103"/>
      <c r="AW81" s="131"/>
      <c r="AX81" s="127"/>
    </row>
    <row r="82" spans="1:50" ht="12.75" hidden="1">
      <c r="A82" s="21"/>
      <c r="B82" s="27">
        <v>4210</v>
      </c>
      <c r="C82" s="18" t="s">
        <v>14</v>
      </c>
      <c r="D82" s="104">
        <v>152800</v>
      </c>
      <c r="E82" s="106">
        <v>-1487</v>
      </c>
      <c r="F82" s="106">
        <f t="shared" si="90"/>
        <v>151313</v>
      </c>
      <c r="G82" s="109"/>
      <c r="H82" s="106">
        <f t="shared" si="91"/>
        <v>151313</v>
      </c>
      <c r="I82" s="109"/>
      <c r="J82" s="106">
        <f t="shared" si="92"/>
        <v>151313</v>
      </c>
      <c r="K82" s="110"/>
      <c r="L82" s="106">
        <f t="shared" si="93"/>
        <v>151313</v>
      </c>
      <c r="M82" s="109"/>
      <c r="N82" s="106">
        <f t="shared" si="94"/>
        <v>151313</v>
      </c>
      <c r="O82" s="106"/>
      <c r="P82" s="106">
        <f t="shared" si="94"/>
        <v>151313</v>
      </c>
      <c r="Q82" s="109"/>
      <c r="R82" s="106">
        <f t="shared" si="94"/>
        <v>151313</v>
      </c>
      <c r="S82" s="109"/>
      <c r="T82" s="106">
        <f t="shared" si="95"/>
        <v>151313</v>
      </c>
      <c r="U82" s="109"/>
      <c r="V82" s="106">
        <f t="shared" si="96"/>
        <v>151313</v>
      </c>
      <c r="W82" s="109"/>
      <c r="X82" s="106">
        <f t="shared" si="97"/>
        <v>151313</v>
      </c>
      <c r="Y82" s="109"/>
      <c r="Z82" s="106">
        <f t="shared" si="98"/>
        <v>151313</v>
      </c>
      <c r="AA82" s="109"/>
      <c r="AB82" s="106">
        <f t="shared" si="99"/>
        <v>151313</v>
      </c>
      <c r="AC82" s="109"/>
      <c r="AD82" s="106">
        <f t="shared" si="100"/>
        <v>151313</v>
      </c>
      <c r="AE82" s="109"/>
      <c r="AF82" s="106">
        <f t="shared" si="101"/>
        <v>151313</v>
      </c>
      <c r="AG82" s="147"/>
      <c r="AH82" s="106">
        <f t="shared" si="102"/>
        <v>151313</v>
      </c>
      <c r="AI82" s="109"/>
      <c r="AJ82" s="106">
        <f t="shared" si="103"/>
        <v>151313</v>
      </c>
      <c r="AK82" s="109"/>
      <c r="AL82" s="106">
        <f t="shared" si="104"/>
        <v>151313</v>
      </c>
      <c r="AM82" s="109"/>
      <c r="AN82" s="106">
        <f t="shared" si="105"/>
        <v>151313</v>
      </c>
      <c r="AO82" s="106">
        <v>178451</v>
      </c>
      <c r="AP82" s="113">
        <v>108587</v>
      </c>
      <c r="AQ82" s="243">
        <f>150000-12000+17000</f>
        <v>155000</v>
      </c>
      <c r="AR82" s="275"/>
      <c r="AS82" s="244">
        <f t="shared" si="14"/>
        <v>155000</v>
      </c>
      <c r="AT82" s="158"/>
      <c r="AU82" s="103">
        <f>1000+750+1500</f>
        <v>3250</v>
      </c>
      <c r="AV82" s="103"/>
      <c r="AW82" s="131"/>
      <c r="AX82" s="127"/>
    </row>
    <row r="83" spans="1:50" ht="12.75" hidden="1">
      <c r="A83" s="21"/>
      <c r="B83" s="27">
        <v>4240</v>
      </c>
      <c r="C83" s="18" t="s">
        <v>74</v>
      </c>
      <c r="D83" s="104">
        <v>17000</v>
      </c>
      <c r="E83" s="106"/>
      <c r="F83" s="106">
        <f t="shared" si="90"/>
        <v>17000</v>
      </c>
      <c r="G83" s="109"/>
      <c r="H83" s="106">
        <f t="shared" si="91"/>
        <v>17000</v>
      </c>
      <c r="I83" s="109"/>
      <c r="J83" s="106">
        <f t="shared" si="92"/>
        <v>17000</v>
      </c>
      <c r="K83" s="110"/>
      <c r="L83" s="106">
        <f t="shared" si="93"/>
        <v>17000</v>
      </c>
      <c r="M83" s="109"/>
      <c r="N83" s="106">
        <f t="shared" si="94"/>
        <v>17000</v>
      </c>
      <c r="O83" s="106"/>
      <c r="P83" s="106">
        <f t="shared" si="94"/>
        <v>17000</v>
      </c>
      <c r="Q83" s="109"/>
      <c r="R83" s="106">
        <f t="shared" si="94"/>
        <v>17000</v>
      </c>
      <c r="S83" s="109"/>
      <c r="T83" s="106">
        <f t="shared" si="95"/>
        <v>17000</v>
      </c>
      <c r="U83" s="109"/>
      <c r="V83" s="106">
        <f t="shared" si="96"/>
        <v>17000</v>
      </c>
      <c r="W83" s="109"/>
      <c r="X83" s="106">
        <f t="shared" si="97"/>
        <v>17000</v>
      </c>
      <c r="Y83" s="109"/>
      <c r="Z83" s="106">
        <f t="shared" si="98"/>
        <v>17000</v>
      </c>
      <c r="AA83" s="109"/>
      <c r="AB83" s="106">
        <f t="shared" si="99"/>
        <v>17000</v>
      </c>
      <c r="AC83" s="109"/>
      <c r="AD83" s="106">
        <f t="shared" si="100"/>
        <v>17000</v>
      </c>
      <c r="AE83" s="109"/>
      <c r="AF83" s="106">
        <f t="shared" si="101"/>
        <v>17000</v>
      </c>
      <c r="AG83" s="147"/>
      <c r="AH83" s="106">
        <f t="shared" si="102"/>
        <v>17000</v>
      </c>
      <c r="AI83" s="109"/>
      <c r="AJ83" s="106">
        <f t="shared" si="103"/>
        <v>17000</v>
      </c>
      <c r="AK83" s="109"/>
      <c r="AL83" s="106">
        <f t="shared" si="104"/>
        <v>17000</v>
      </c>
      <c r="AM83" s="109"/>
      <c r="AN83" s="106">
        <f t="shared" si="105"/>
        <v>17000</v>
      </c>
      <c r="AO83" s="106">
        <v>0</v>
      </c>
      <c r="AP83" s="113">
        <v>9895</v>
      </c>
      <c r="AQ83" s="243">
        <f>17000-17000</f>
        <v>0</v>
      </c>
      <c r="AR83" s="275"/>
      <c r="AS83" s="244">
        <f t="shared" si="14"/>
        <v>0</v>
      </c>
      <c r="AT83" s="158"/>
      <c r="AU83" s="103"/>
      <c r="AV83" s="103"/>
      <c r="AW83" s="131"/>
      <c r="AX83" s="127"/>
    </row>
    <row r="84" spans="1:50" ht="12.75" hidden="1">
      <c r="A84" s="21"/>
      <c r="B84" s="27">
        <v>4260</v>
      </c>
      <c r="C84" s="18" t="s">
        <v>43</v>
      </c>
      <c r="D84" s="104">
        <f>23435-875-601-251</f>
        <v>21708</v>
      </c>
      <c r="E84" s="106"/>
      <c r="F84" s="106">
        <f t="shared" si="90"/>
        <v>21708</v>
      </c>
      <c r="G84" s="109"/>
      <c r="H84" s="106">
        <f t="shared" si="91"/>
        <v>21708</v>
      </c>
      <c r="I84" s="109"/>
      <c r="J84" s="106">
        <f t="shared" si="92"/>
        <v>21708</v>
      </c>
      <c r="K84" s="110"/>
      <c r="L84" s="106">
        <f t="shared" si="93"/>
        <v>21708</v>
      </c>
      <c r="M84" s="109"/>
      <c r="N84" s="106">
        <f t="shared" si="94"/>
        <v>21708</v>
      </c>
      <c r="O84" s="106"/>
      <c r="P84" s="106">
        <f t="shared" si="94"/>
        <v>21708</v>
      </c>
      <c r="Q84" s="109"/>
      <c r="R84" s="106">
        <f t="shared" si="94"/>
        <v>21708</v>
      </c>
      <c r="S84" s="109"/>
      <c r="T84" s="106">
        <f t="shared" si="95"/>
        <v>21708</v>
      </c>
      <c r="U84" s="109"/>
      <c r="V84" s="106">
        <f t="shared" si="96"/>
        <v>21708</v>
      </c>
      <c r="W84" s="109"/>
      <c r="X84" s="106">
        <f t="shared" si="97"/>
        <v>21708</v>
      </c>
      <c r="Y84" s="109"/>
      <c r="Z84" s="106">
        <f t="shared" si="98"/>
        <v>21708</v>
      </c>
      <c r="AA84" s="109"/>
      <c r="AB84" s="106">
        <f t="shared" si="99"/>
        <v>21708</v>
      </c>
      <c r="AC84" s="109"/>
      <c r="AD84" s="106">
        <f t="shared" si="100"/>
        <v>21708</v>
      </c>
      <c r="AE84" s="109"/>
      <c r="AF84" s="106">
        <f t="shared" si="101"/>
        <v>21708</v>
      </c>
      <c r="AG84" s="147">
        <v>7000</v>
      </c>
      <c r="AH84" s="106">
        <f t="shared" si="102"/>
        <v>28708</v>
      </c>
      <c r="AI84" s="109"/>
      <c r="AJ84" s="106">
        <f t="shared" si="103"/>
        <v>28708</v>
      </c>
      <c r="AK84" s="109"/>
      <c r="AL84" s="106">
        <f t="shared" si="104"/>
        <v>28708</v>
      </c>
      <c r="AM84" s="109"/>
      <c r="AN84" s="106">
        <f t="shared" si="105"/>
        <v>28708</v>
      </c>
      <c r="AO84" s="106">
        <v>19597</v>
      </c>
      <c r="AP84" s="113">
        <v>19276</v>
      </c>
      <c r="AQ84" s="243">
        <v>33000</v>
      </c>
      <c r="AR84" s="275"/>
      <c r="AS84" s="244">
        <f t="shared" si="14"/>
        <v>33000</v>
      </c>
      <c r="AT84" s="158"/>
      <c r="AU84" s="103">
        <f>(19276/3*4)*130%</f>
        <v>33411.73333333333</v>
      </c>
      <c r="AV84" s="103"/>
      <c r="AW84" s="131"/>
      <c r="AX84" s="127"/>
    </row>
    <row r="85" spans="1:50" ht="12.75" hidden="1">
      <c r="A85" s="21"/>
      <c r="B85" s="27">
        <v>4270</v>
      </c>
      <c r="C85" s="18" t="s">
        <v>24</v>
      </c>
      <c r="D85" s="104">
        <v>10000</v>
      </c>
      <c r="E85" s="106"/>
      <c r="F85" s="106">
        <f t="shared" si="90"/>
        <v>10000</v>
      </c>
      <c r="G85" s="109"/>
      <c r="H85" s="106">
        <f t="shared" si="91"/>
        <v>10000</v>
      </c>
      <c r="I85" s="109"/>
      <c r="J85" s="106">
        <f t="shared" si="92"/>
        <v>10000</v>
      </c>
      <c r="K85" s="109"/>
      <c r="L85" s="106">
        <f t="shared" si="93"/>
        <v>10000</v>
      </c>
      <c r="M85" s="109"/>
      <c r="N85" s="106">
        <f t="shared" si="94"/>
        <v>10000</v>
      </c>
      <c r="O85" s="106"/>
      <c r="P85" s="106">
        <f t="shared" si="94"/>
        <v>10000</v>
      </c>
      <c r="Q85" s="109"/>
      <c r="R85" s="106">
        <f t="shared" si="94"/>
        <v>10000</v>
      </c>
      <c r="S85" s="109"/>
      <c r="T85" s="106">
        <f t="shared" si="95"/>
        <v>10000</v>
      </c>
      <c r="U85" s="109"/>
      <c r="V85" s="106">
        <f t="shared" si="96"/>
        <v>10000</v>
      </c>
      <c r="W85" s="109"/>
      <c r="X85" s="106">
        <f t="shared" si="97"/>
        <v>10000</v>
      </c>
      <c r="Y85" s="109"/>
      <c r="Z85" s="106">
        <f t="shared" si="98"/>
        <v>10000</v>
      </c>
      <c r="AA85" s="109"/>
      <c r="AB85" s="106">
        <f t="shared" si="99"/>
        <v>10000</v>
      </c>
      <c r="AC85" s="109"/>
      <c r="AD85" s="106">
        <f t="shared" si="100"/>
        <v>10000</v>
      </c>
      <c r="AE85" s="109"/>
      <c r="AF85" s="106">
        <f t="shared" si="101"/>
        <v>10000</v>
      </c>
      <c r="AG85" s="147"/>
      <c r="AH85" s="106">
        <f t="shared" si="102"/>
        <v>10000</v>
      </c>
      <c r="AI85" s="109"/>
      <c r="AJ85" s="106">
        <f t="shared" si="103"/>
        <v>10000</v>
      </c>
      <c r="AK85" s="109"/>
      <c r="AL85" s="106">
        <f t="shared" si="104"/>
        <v>10000</v>
      </c>
      <c r="AM85" s="109"/>
      <c r="AN85" s="106">
        <f t="shared" si="105"/>
        <v>10000</v>
      </c>
      <c r="AO85" s="106">
        <v>6401</v>
      </c>
      <c r="AP85" s="113">
        <v>8250</v>
      </c>
      <c r="AQ85" s="243">
        <f>12000-2000</f>
        <v>10000</v>
      </c>
      <c r="AR85" s="275"/>
      <c r="AS85" s="244">
        <f t="shared" si="14"/>
        <v>10000</v>
      </c>
      <c r="AT85" s="158"/>
      <c r="AU85" s="103"/>
      <c r="AV85" s="103"/>
      <c r="AW85" s="131"/>
      <c r="AX85" s="127"/>
    </row>
    <row r="86" spans="1:50" ht="12.75" hidden="1">
      <c r="A86" s="21"/>
      <c r="B86" s="27">
        <v>4280</v>
      </c>
      <c r="C86" s="18" t="s">
        <v>44</v>
      </c>
      <c r="D86" s="104">
        <v>2500</v>
      </c>
      <c r="E86" s="106"/>
      <c r="F86" s="106">
        <f t="shared" si="90"/>
        <v>2500</v>
      </c>
      <c r="G86" s="109"/>
      <c r="H86" s="106">
        <f t="shared" si="91"/>
        <v>2500</v>
      </c>
      <c r="I86" s="109"/>
      <c r="J86" s="106">
        <f t="shared" si="92"/>
        <v>2500</v>
      </c>
      <c r="K86" s="109"/>
      <c r="L86" s="106">
        <f t="shared" si="93"/>
        <v>2500</v>
      </c>
      <c r="M86" s="109"/>
      <c r="N86" s="106">
        <f t="shared" si="94"/>
        <v>2500</v>
      </c>
      <c r="O86" s="106"/>
      <c r="P86" s="106">
        <f t="shared" si="94"/>
        <v>2500</v>
      </c>
      <c r="Q86" s="109"/>
      <c r="R86" s="106">
        <f t="shared" si="94"/>
        <v>2500</v>
      </c>
      <c r="S86" s="109"/>
      <c r="T86" s="106">
        <f t="shared" si="95"/>
        <v>2500</v>
      </c>
      <c r="U86" s="109"/>
      <c r="V86" s="106">
        <f t="shared" si="96"/>
        <v>2500</v>
      </c>
      <c r="W86" s="109"/>
      <c r="X86" s="106">
        <f t="shared" si="97"/>
        <v>2500</v>
      </c>
      <c r="Y86" s="109"/>
      <c r="Z86" s="106">
        <f t="shared" si="98"/>
        <v>2500</v>
      </c>
      <c r="AA86" s="109"/>
      <c r="AB86" s="106">
        <f t="shared" si="99"/>
        <v>2500</v>
      </c>
      <c r="AC86" s="109"/>
      <c r="AD86" s="106">
        <f t="shared" si="100"/>
        <v>2500</v>
      </c>
      <c r="AE86" s="109"/>
      <c r="AF86" s="106">
        <f t="shared" si="101"/>
        <v>2500</v>
      </c>
      <c r="AG86" s="147"/>
      <c r="AH86" s="106">
        <f t="shared" si="102"/>
        <v>2500</v>
      </c>
      <c r="AI86" s="109"/>
      <c r="AJ86" s="106">
        <f t="shared" si="103"/>
        <v>2500</v>
      </c>
      <c r="AK86" s="109"/>
      <c r="AL86" s="106">
        <f t="shared" si="104"/>
        <v>2500</v>
      </c>
      <c r="AM86" s="109"/>
      <c r="AN86" s="106">
        <f t="shared" si="105"/>
        <v>2500</v>
      </c>
      <c r="AO86" s="106">
        <v>2279</v>
      </c>
      <c r="AP86" s="113">
        <v>1122</v>
      </c>
      <c r="AQ86" s="243">
        <v>1750</v>
      </c>
      <c r="AR86" s="275"/>
      <c r="AS86" s="244">
        <f aca="true" t="shared" si="106" ref="AS86:AS149">AR86+AQ86</f>
        <v>1750</v>
      </c>
      <c r="AT86" s="158"/>
      <c r="AU86" s="103"/>
      <c r="AV86" s="103"/>
      <c r="AW86" s="131"/>
      <c r="AX86" s="127"/>
    </row>
    <row r="87" spans="1:50" ht="12.75" hidden="1">
      <c r="A87" s="21"/>
      <c r="B87" s="27">
        <v>4300</v>
      </c>
      <c r="C87" s="18" t="s">
        <v>15</v>
      </c>
      <c r="D87" s="104">
        <v>180000</v>
      </c>
      <c r="E87" s="106"/>
      <c r="F87" s="106">
        <f t="shared" si="90"/>
        <v>180000</v>
      </c>
      <c r="G87" s="109"/>
      <c r="H87" s="106">
        <f t="shared" si="91"/>
        <v>180000</v>
      </c>
      <c r="I87" s="109"/>
      <c r="J87" s="106">
        <f t="shared" si="92"/>
        <v>180000</v>
      </c>
      <c r="K87" s="109"/>
      <c r="L87" s="106">
        <f t="shared" si="93"/>
        <v>180000</v>
      </c>
      <c r="M87" s="109"/>
      <c r="N87" s="106">
        <f t="shared" si="94"/>
        <v>180000</v>
      </c>
      <c r="O87" s="106">
        <v>-8000</v>
      </c>
      <c r="P87" s="106">
        <f t="shared" si="94"/>
        <v>172000</v>
      </c>
      <c r="Q87" s="109"/>
      <c r="R87" s="106">
        <f t="shared" si="94"/>
        <v>172000</v>
      </c>
      <c r="S87" s="109"/>
      <c r="T87" s="106">
        <f t="shared" si="95"/>
        <v>172000</v>
      </c>
      <c r="U87" s="109"/>
      <c r="V87" s="106">
        <f t="shared" si="96"/>
        <v>172000</v>
      </c>
      <c r="W87" s="109"/>
      <c r="X87" s="106">
        <f t="shared" si="97"/>
        <v>172000</v>
      </c>
      <c r="Y87" s="109"/>
      <c r="Z87" s="106">
        <f t="shared" si="98"/>
        <v>172000</v>
      </c>
      <c r="AA87" s="109">
        <v>-1000</v>
      </c>
      <c r="AB87" s="106">
        <f t="shared" si="99"/>
        <v>171000</v>
      </c>
      <c r="AC87" s="109"/>
      <c r="AD87" s="106">
        <f t="shared" si="100"/>
        <v>171000</v>
      </c>
      <c r="AE87" s="109"/>
      <c r="AF87" s="106">
        <f t="shared" si="101"/>
        <v>171000</v>
      </c>
      <c r="AG87" s="147"/>
      <c r="AH87" s="106">
        <f t="shared" si="102"/>
        <v>171000</v>
      </c>
      <c r="AI87" s="109"/>
      <c r="AJ87" s="106">
        <f t="shared" si="103"/>
        <v>171000</v>
      </c>
      <c r="AK87" s="109"/>
      <c r="AL87" s="106">
        <f t="shared" si="104"/>
        <v>171000</v>
      </c>
      <c r="AM87" s="109"/>
      <c r="AN87" s="106">
        <f t="shared" si="105"/>
        <v>171000</v>
      </c>
      <c r="AO87" s="106">
        <v>156098</v>
      </c>
      <c r="AP87" s="113">
        <f>144111+2196+146+13+28+336+2074+883+697+318+3050+12+244+1655+117+29</f>
        <v>155909</v>
      </c>
      <c r="AQ87" s="243">
        <f>177000-5000</f>
        <v>172000</v>
      </c>
      <c r="AR87" s="275"/>
      <c r="AS87" s="244">
        <f t="shared" si="106"/>
        <v>172000</v>
      </c>
      <c r="AT87" s="158"/>
      <c r="AU87" s="103"/>
      <c r="AV87" s="103"/>
      <c r="AW87" s="131"/>
      <c r="AX87" s="127"/>
    </row>
    <row r="88" spans="1:50" ht="12.75" hidden="1">
      <c r="A88" s="21"/>
      <c r="B88" s="27">
        <v>4350</v>
      </c>
      <c r="C88" s="18" t="s">
        <v>55</v>
      </c>
      <c r="D88" s="104">
        <v>8000</v>
      </c>
      <c r="E88" s="106"/>
      <c r="F88" s="106">
        <f t="shared" si="90"/>
        <v>8000</v>
      </c>
      <c r="G88" s="109"/>
      <c r="H88" s="106">
        <f t="shared" si="91"/>
        <v>8000</v>
      </c>
      <c r="I88" s="109"/>
      <c r="J88" s="106">
        <f t="shared" si="92"/>
        <v>8000</v>
      </c>
      <c r="K88" s="110"/>
      <c r="L88" s="106">
        <f t="shared" si="93"/>
        <v>8000</v>
      </c>
      <c r="M88" s="109"/>
      <c r="N88" s="106">
        <f t="shared" si="94"/>
        <v>8000</v>
      </c>
      <c r="O88" s="106"/>
      <c r="P88" s="106">
        <f t="shared" si="94"/>
        <v>8000</v>
      </c>
      <c r="Q88" s="109"/>
      <c r="R88" s="106">
        <f t="shared" si="94"/>
        <v>8000</v>
      </c>
      <c r="S88" s="109"/>
      <c r="T88" s="106">
        <f t="shared" si="95"/>
        <v>8000</v>
      </c>
      <c r="U88" s="109"/>
      <c r="V88" s="106">
        <f t="shared" si="96"/>
        <v>8000</v>
      </c>
      <c r="W88" s="109"/>
      <c r="X88" s="106">
        <f t="shared" si="97"/>
        <v>8000</v>
      </c>
      <c r="Y88" s="109"/>
      <c r="Z88" s="106">
        <f t="shared" si="98"/>
        <v>8000</v>
      </c>
      <c r="AA88" s="109"/>
      <c r="AB88" s="106">
        <f t="shared" si="99"/>
        <v>8000</v>
      </c>
      <c r="AC88" s="109"/>
      <c r="AD88" s="106">
        <f t="shared" si="100"/>
        <v>8000</v>
      </c>
      <c r="AE88" s="109"/>
      <c r="AF88" s="106">
        <f t="shared" si="101"/>
        <v>8000</v>
      </c>
      <c r="AG88" s="147"/>
      <c r="AH88" s="106">
        <f t="shared" si="102"/>
        <v>8000</v>
      </c>
      <c r="AI88" s="109"/>
      <c r="AJ88" s="106">
        <f t="shared" si="103"/>
        <v>8000</v>
      </c>
      <c r="AK88" s="109"/>
      <c r="AL88" s="106">
        <f t="shared" si="104"/>
        <v>8000</v>
      </c>
      <c r="AM88" s="109"/>
      <c r="AN88" s="106">
        <f t="shared" si="105"/>
        <v>8000</v>
      </c>
      <c r="AO88" s="106">
        <v>5727</v>
      </c>
      <c r="AP88" s="113">
        <f>6994+487+171</f>
        <v>7652</v>
      </c>
      <c r="AQ88" s="243">
        <v>8500</v>
      </c>
      <c r="AR88" s="275"/>
      <c r="AS88" s="244">
        <f t="shared" si="106"/>
        <v>8500</v>
      </c>
      <c r="AT88" s="158"/>
      <c r="AU88" s="103"/>
      <c r="AV88" s="103"/>
      <c r="AW88" s="131"/>
      <c r="AX88" s="127"/>
    </row>
    <row r="89" spans="1:50" ht="25.5" hidden="1">
      <c r="A89" s="21"/>
      <c r="B89" s="27">
        <v>4360</v>
      </c>
      <c r="C89" s="18" t="s">
        <v>46</v>
      </c>
      <c r="D89" s="104">
        <v>24000</v>
      </c>
      <c r="E89" s="106"/>
      <c r="F89" s="106">
        <f t="shared" si="90"/>
        <v>24000</v>
      </c>
      <c r="G89" s="109"/>
      <c r="H89" s="106">
        <f t="shared" si="91"/>
        <v>24000</v>
      </c>
      <c r="I89" s="109"/>
      <c r="J89" s="106">
        <f t="shared" si="92"/>
        <v>24000</v>
      </c>
      <c r="K89" s="110"/>
      <c r="L89" s="106">
        <f t="shared" si="93"/>
        <v>24000</v>
      </c>
      <c r="M89" s="109"/>
      <c r="N89" s="106">
        <f t="shared" si="94"/>
        <v>24000</v>
      </c>
      <c r="O89" s="106"/>
      <c r="P89" s="106">
        <f t="shared" si="94"/>
        <v>24000</v>
      </c>
      <c r="Q89" s="109"/>
      <c r="R89" s="106">
        <f t="shared" si="94"/>
        <v>24000</v>
      </c>
      <c r="S89" s="109"/>
      <c r="T89" s="106">
        <f t="shared" si="95"/>
        <v>24000</v>
      </c>
      <c r="U89" s="109"/>
      <c r="V89" s="106">
        <f t="shared" si="96"/>
        <v>24000</v>
      </c>
      <c r="W89" s="109"/>
      <c r="X89" s="106">
        <f t="shared" si="97"/>
        <v>24000</v>
      </c>
      <c r="Y89" s="109"/>
      <c r="Z89" s="106">
        <f t="shared" si="98"/>
        <v>24000</v>
      </c>
      <c r="AA89" s="109"/>
      <c r="AB89" s="106">
        <f t="shared" si="99"/>
        <v>24000</v>
      </c>
      <c r="AC89" s="109"/>
      <c r="AD89" s="106">
        <f t="shared" si="100"/>
        <v>24000</v>
      </c>
      <c r="AE89" s="109"/>
      <c r="AF89" s="106">
        <f t="shared" si="101"/>
        <v>24000</v>
      </c>
      <c r="AG89" s="198">
        <v>8000</v>
      </c>
      <c r="AH89" s="106">
        <f t="shared" si="102"/>
        <v>32000</v>
      </c>
      <c r="AI89" s="172"/>
      <c r="AJ89" s="106">
        <f t="shared" si="103"/>
        <v>32000</v>
      </c>
      <c r="AK89" s="172"/>
      <c r="AL89" s="106">
        <f t="shared" si="104"/>
        <v>32000</v>
      </c>
      <c r="AM89" s="172"/>
      <c r="AN89" s="106">
        <f t="shared" si="105"/>
        <v>32000</v>
      </c>
      <c r="AO89" s="106">
        <v>24151</v>
      </c>
      <c r="AP89" s="113">
        <v>24617</v>
      </c>
      <c r="AQ89" s="243">
        <v>33000</v>
      </c>
      <c r="AR89" s="275"/>
      <c r="AS89" s="244">
        <f t="shared" si="106"/>
        <v>33000</v>
      </c>
      <c r="AT89" s="158"/>
      <c r="AU89" s="103"/>
      <c r="AV89" s="103"/>
      <c r="AW89" s="131"/>
      <c r="AX89" s="127"/>
    </row>
    <row r="90" spans="1:50" ht="25.5" hidden="1">
      <c r="A90" s="21"/>
      <c r="B90" s="27">
        <v>4370</v>
      </c>
      <c r="C90" s="18" t="s">
        <v>47</v>
      </c>
      <c r="D90" s="104">
        <v>12000</v>
      </c>
      <c r="E90" s="106"/>
      <c r="F90" s="106">
        <f aca="true" t="shared" si="107" ref="F90:F162">D90+E90</f>
        <v>12000</v>
      </c>
      <c r="G90" s="109"/>
      <c r="H90" s="106">
        <f t="shared" si="91"/>
        <v>12000</v>
      </c>
      <c r="I90" s="109"/>
      <c r="J90" s="106">
        <f t="shared" si="92"/>
        <v>12000</v>
      </c>
      <c r="K90" s="110"/>
      <c r="L90" s="106">
        <f t="shared" si="93"/>
        <v>12000</v>
      </c>
      <c r="M90" s="109"/>
      <c r="N90" s="106">
        <f t="shared" si="94"/>
        <v>12000</v>
      </c>
      <c r="O90" s="106"/>
      <c r="P90" s="106">
        <f t="shared" si="94"/>
        <v>12000</v>
      </c>
      <c r="Q90" s="109"/>
      <c r="R90" s="106">
        <f t="shared" si="94"/>
        <v>12000</v>
      </c>
      <c r="S90" s="109"/>
      <c r="T90" s="106">
        <f t="shared" si="95"/>
        <v>12000</v>
      </c>
      <c r="U90" s="109"/>
      <c r="V90" s="106">
        <f t="shared" si="96"/>
        <v>12000</v>
      </c>
      <c r="W90" s="109"/>
      <c r="X90" s="106">
        <f t="shared" si="97"/>
        <v>12000</v>
      </c>
      <c r="Y90" s="109"/>
      <c r="Z90" s="106">
        <f t="shared" si="98"/>
        <v>12000</v>
      </c>
      <c r="AA90" s="109"/>
      <c r="AB90" s="106">
        <f t="shared" si="99"/>
        <v>12000</v>
      </c>
      <c r="AC90" s="109"/>
      <c r="AD90" s="106">
        <f t="shared" si="100"/>
        <v>12000</v>
      </c>
      <c r="AE90" s="109"/>
      <c r="AF90" s="106">
        <f t="shared" si="101"/>
        <v>12000</v>
      </c>
      <c r="AG90" s="147"/>
      <c r="AH90" s="106">
        <f t="shared" si="102"/>
        <v>12000</v>
      </c>
      <c r="AI90" s="109"/>
      <c r="AJ90" s="106">
        <f t="shared" si="103"/>
        <v>12000</v>
      </c>
      <c r="AK90" s="109"/>
      <c r="AL90" s="106">
        <f t="shared" si="104"/>
        <v>12000</v>
      </c>
      <c r="AM90" s="109"/>
      <c r="AN90" s="106">
        <f t="shared" si="105"/>
        <v>12000</v>
      </c>
      <c r="AO90" s="106">
        <v>10139</v>
      </c>
      <c r="AP90" s="113">
        <v>5049</v>
      </c>
      <c r="AQ90" s="243">
        <v>8000</v>
      </c>
      <c r="AR90" s="275"/>
      <c r="AS90" s="244">
        <f t="shared" si="106"/>
        <v>8000</v>
      </c>
      <c r="AT90" s="158"/>
      <c r="AU90" s="103">
        <f>(AP90/3*4)</f>
        <v>6732</v>
      </c>
      <c r="AV90" s="103"/>
      <c r="AW90" s="131"/>
      <c r="AX90" s="127"/>
    </row>
    <row r="91" spans="1:50" ht="12.75" hidden="1">
      <c r="A91" s="21"/>
      <c r="B91" s="27">
        <v>4410</v>
      </c>
      <c r="C91" s="18" t="s">
        <v>48</v>
      </c>
      <c r="D91" s="104">
        <v>25000</v>
      </c>
      <c r="E91" s="106"/>
      <c r="F91" s="106">
        <f t="shared" si="107"/>
        <v>25000</v>
      </c>
      <c r="G91" s="109"/>
      <c r="H91" s="106">
        <f t="shared" si="91"/>
        <v>25000</v>
      </c>
      <c r="I91" s="109"/>
      <c r="J91" s="106">
        <f t="shared" si="92"/>
        <v>25000</v>
      </c>
      <c r="K91" s="110"/>
      <c r="L91" s="106">
        <f t="shared" si="93"/>
        <v>25000</v>
      </c>
      <c r="M91" s="109"/>
      <c r="N91" s="106">
        <f t="shared" si="94"/>
        <v>25000</v>
      </c>
      <c r="O91" s="106"/>
      <c r="P91" s="106">
        <f t="shared" si="94"/>
        <v>25000</v>
      </c>
      <c r="Q91" s="109"/>
      <c r="R91" s="106">
        <f t="shared" si="94"/>
        <v>25000</v>
      </c>
      <c r="S91" s="109"/>
      <c r="T91" s="106">
        <f t="shared" si="95"/>
        <v>25000</v>
      </c>
      <c r="U91" s="109"/>
      <c r="V91" s="106">
        <f t="shared" si="96"/>
        <v>25000</v>
      </c>
      <c r="W91" s="109"/>
      <c r="X91" s="106">
        <f t="shared" si="97"/>
        <v>25000</v>
      </c>
      <c r="Y91" s="109"/>
      <c r="Z91" s="106">
        <f t="shared" si="98"/>
        <v>25000</v>
      </c>
      <c r="AA91" s="109"/>
      <c r="AB91" s="106">
        <f t="shared" si="99"/>
        <v>25000</v>
      </c>
      <c r="AC91" s="109"/>
      <c r="AD91" s="106">
        <f t="shared" si="100"/>
        <v>25000</v>
      </c>
      <c r="AE91" s="109"/>
      <c r="AF91" s="106">
        <f t="shared" si="101"/>
        <v>25000</v>
      </c>
      <c r="AG91" s="147"/>
      <c r="AH91" s="106">
        <f t="shared" si="102"/>
        <v>25000</v>
      </c>
      <c r="AI91" s="109"/>
      <c r="AJ91" s="106">
        <f t="shared" si="103"/>
        <v>25000</v>
      </c>
      <c r="AK91" s="109"/>
      <c r="AL91" s="106">
        <f t="shared" si="104"/>
        <v>25000</v>
      </c>
      <c r="AM91" s="109"/>
      <c r="AN91" s="106">
        <f t="shared" si="105"/>
        <v>25000</v>
      </c>
      <c r="AO91" s="106">
        <v>26191</v>
      </c>
      <c r="AP91" s="113">
        <v>16050</v>
      </c>
      <c r="AQ91" s="243">
        <v>24000</v>
      </c>
      <c r="AR91" s="275"/>
      <c r="AS91" s="244">
        <f t="shared" si="106"/>
        <v>24000</v>
      </c>
      <c r="AT91" s="158"/>
      <c r="AU91" s="103"/>
      <c r="AV91" s="103"/>
      <c r="AW91" s="131"/>
      <c r="AX91" s="127"/>
    </row>
    <row r="92" spans="1:50" ht="12.75" hidden="1">
      <c r="A92" s="21"/>
      <c r="B92" s="27">
        <v>4420</v>
      </c>
      <c r="C92" s="18" t="s">
        <v>49</v>
      </c>
      <c r="D92" s="104">
        <v>10000</v>
      </c>
      <c r="E92" s="106"/>
      <c r="F92" s="106">
        <f t="shared" si="107"/>
        <v>10000</v>
      </c>
      <c r="G92" s="109"/>
      <c r="H92" s="106">
        <f t="shared" si="91"/>
        <v>10000</v>
      </c>
      <c r="I92" s="109"/>
      <c r="J92" s="106">
        <f t="shared" si="92"/>
        <v>10000</v>
      </c>
      <c r="K92" s="110"/>
      <c r="L92" s="106">
        <f t="shared" si="93"/>
        <v>10000</v>
      </c>
      <c r="M92" s="109"/>
      <c r="N92" s="106">
        <f t="shared" si="94"/>
        <v>10000</v>
      </c>
      <c r="O92" s="106"/>
      <c r="P92" s="106">
        <f t="shared" si="94"/>
        <v>10000</v>
      </c>
      <c r="Q92" s="109"/>
      <c r="R92" s="106">
        <f t="shared" si="94"/>
        <v>10000</v>
      </c>
      <c r="S92" s="109"/>
      <c r="T92" s="106">
        <f t="shared" si="95"/>
        <v>10000</v>
      </c>
      <c r="U92" s="109"/>
      <c r="V92" s="106">
        <f t="shared" si="96"/>
        <v>10000</v>
      </c>
      <c r="W92" s="109"/>
      <c r="X92" s="106">
        <f t="shared" si="97"/>
        <v>10000</v>
      </c>
      <c r="Y92" s="109"/>
      <c r="Z92" s="106">
        <f t="shared" si="98"/>
        <v>10000</v>
      </c>
      <c r="AA92" s="109"/>
      <c r="AB92" s="106">
        <f t="shared" si="99"/>
        <v>10000</v>
      </c>
      <c r="AC92" s="109"/>
      <c r="AD92" s="106">
        <f t="shared" si="100"/>
        <v>10000</v>
      </c>
      <c r="AE92" s="109"/>
      <c r="AF92" s="106">
        <f t="shared" si="101"/>
        <v>10000</v>
      </c>
      <c r="AG92" s="147"/>
      <c r="AH92" s="106">
        <f t="shared" si="102"/>
        <v>10000</v>
      </c>
      <c r="AI92" s="109"/>
      <c r="AJ92" s="106">
        <f t="shared" si="103"/>
        <v>10000</v>
      </c>
      <c r="AK92" s="109"/>
      <c r="AL92" s="106">
        <f t="shared" si="104"/>
        <v>10000</v>
      </c>
      <c r="AM92" s="109"/>
      <c r="AN92" s="106">
        <f t="shared" si="105"/>
        <v>10000</v>
      </c>
      <c r="AO92" s="106">
        <v>0</v>
      </c>
      <c r="AP92" s="113">
        <v>394</v>
      </c>
      <c r="AQ92" s="243">
        <v>10000</v>
      </c>
      <c r="AR92" s="275"/>
      <c r="AS92" s="244">
        <f t="shared" si="106"/>
        <v>10000</v>
      </c>
      <c r="AT92" s="158"/>
      <c r="AU92" s="103"/>
      <c r="AV92" s="103"/>
      <c r="AW92" s="131"/>
      <c r="AX92" s="127"/>
    </row>
    <row r="93" spans="1:50" ht="12.75" hidden="1">
      <c r="A93" s="21"/>
      <c r="B93" s="27">
        <v>4430</v>
      </c>
      <c r="C93" s="18" t="s">
        <v>16</v>
      </c>
      <c r="D93" s="104">
        <v>8200</v>
      </c>
      <c r="E93" s="106"/>
      <c r="F93" s="106">
        <f t="shared" si="107"/>
        <v>8200</v>
      </c>
      <c r="G93" s="109"/>
      <c r="H93" s="106">
        <f t="shared" si="91"/>
        <v>8200</v>
      </c>
      <c r="I93" s="109"/>
      <c r="J93" s="106">
        <f t="shared" si="92"/>
        <v>8200</v>
      </c>
      <c r="K93" s="110"/>
      <c r="L93" s="106">
        <f t="shared" si="93"/>
        <v>8200</v>
      </c>
      <c r="M93" s="109"/>
      <c r="N93" s="106">
        <f t="shared" si="94"/>
        <v>8200</v>
      </c>
      <c r="O93" s="106">
        <v>8000</v>
      </c>
      <c r="P93" s="106">
        <f t="shared" si="94"/>
        <v>16200</v>
      </c>
      <c r="Q93" s="109"/>
      <c r="R93" s="106">
        <f t="shared" si="94"/>
        <v>16200</v>
      </c>
      <c r="S93" s="109"/>
      <c r="T93" s="106">
        <f t="shared" si="95"/>
        <v>16200</v>
      </c>
      <c r="U93" s="109"/>
      <c r="V93" s="106">
        <f t="shared" si="96"/>
        <v>16200</v>
      </c>
      <c r="W93" s="109"/>
      <c r="X93" s="106">
        <f t="shared" si="97"/>
        <v>16200</v>
      </c>
      <c r="Y93" s="109"/>
      <c r="Z93" s="106">
        <f t="shared" si="98"/>
        <v>16200</v>
      </c>
      <c r="AA93" s="109"/>
      <c r="AB93" s="106">
        <f t="shared" si="99"/>
        <v>16200</v>
      </c>
      <c r="AC93" s="109"/>
      <c r="AD93" s="106">
        <f t="shared" si="100"/>
        <v>16200</v>
      </c>
      <c r="AE93" s="109"/>
      <c r="AF93" s="106">
        <f t="shared" si="101"/>
        <v>16200</v>
      </c>
      <c r="AG93" s="147"/>
      <c r="AH93" s="106">
        <f t="shared" si="102"/>
        <v>16200</v>
      </c>
      <c r="AI93" s="109"/>
      <c r="AJ93" s="106">
        <f t="shared" si="103"/>
        <v>16200</v>
      </c>
      <c r="AK93" s="109">
        <v>4000</v>
      </c>
      <c r="AL93" s="106">
        <f t="shared" si="104"/>
        <v>20200</v>
      </c>
      <c r="AM93" s="109"/>
      <c r="AN93" s="106">
        <f t="shared" si="105"/>
        <v>20200</v>
      </c>
      <c r="AO93" s="106">
        <v>12181</v>
      </c>
      <c r="AP93" s="113">
        <v>13646</v>
      </c>
      <c r="AQ93" s="243">
        <v>20000</v>
      </c>
      <c r="AR93" s="275"/>
      <c r="AS93" s="244">
        <f t="shared" si="106"/>
        <v>20000</v>
      </c>
      <c r="AT93" s="158"/>
      <c r="AU93" s="103">
        <f>(AP93/3*4)</f>
        <v>18194.666666666668</v>
      </c>
      <c r="AV93" s="103"/>
      <c r="AW93" s="131"/>
      <c r="AX93" s="127"/>
    </row>
    <row r="94" spans="1:50" ht="12.75" hidden="1">
      <c r="A94" s="21"/>
      <c r="B94" s="27">
        <v>4440</v>
      </c>
      <c r="C94" s="18" t="s">
        <v>50</v>
      </c>
      <c r="D94" s="104">
        <v>39744</v>
      </c>
      <c r="E94" s="106">
        <v>1487</v>
      </c>
      <c r="F94" s="106">
        <f t="shared" si="107"/>
        <v>41231</v>
      </c>
      <c r="G94" s="109"/>
      <c r="H94" s="106">
        <f t="shared" si="91"/>
        <v>41231</v>
      </c>
      <c r="I94" s="109"/>
      <c r="J94" s="106">
        <f t="shared" si="92"/>
        <v>41231</v>
      </c>
      <c r="K94" s="110"/>
      <c r="L94" s="106">
        <f t="shared" si="93"/>
        <v>41231</v>
      </c>
      <c r="M94" s="109"/>
      <c r="N94" s="106">
        <f t="shared" si="94"/>
        <v>41231</v>
      </c>
      <c r="O94" s="106"/>
      <c r="P94" s="106">
        <f t="shared" si="94"/>
        <v>41231</v>
      </c>
      <c r="Q94" s="109"/>
      <c r="R94" s="106">
        <f t="shared" si="94"/>
        <v>41231</v>
      </c>
      <c r="S94" s="109"/>
      <c r="T94" s="106">
        <f t="shared" si="95"/>
        <v>41231</v>
      </c>
      <c r="U94" s="109"/>
      <c r="V94" s="106">
        <f t="shared" si="96"/>
        <v>41231</v>
      </c>
      <c r="W94" s="109"/>
      <c r="X94" s="106">
        <f t="shared" si="97"/>
        <v>41231</v>
      </c>
      <c r="Y94" s="109"/>
      <c r="Z94" s="106">
        <f t="shared" si="98"/>
        <v>41231</v>
      </c>
      <c r="AA94" s="109"/>
      <c r="AB94" s="106">
        <f t="shared" si="99"/>
        <v>41231</v>
      </c>
      <c r="AC94" s="109"/>
      <c r="AD94" s="106">
        <f t="shared" si="100"/>
        <v>41231</v>
      </c>
      <c r="AE94" s="109"/>
      <c r="AF94" s="106">
        <f t="shared" si="101"/>
        <v>41231</v>
      </c>
      <c r="AG94" s="147"/>
      <c r="AH94" s="106">
        <f t="shared" si="102"/>
        <v>41231</v>
      </c>
      <c r="AI94" s="109"/>
      <c r="AJ94" s="106">
        <f t="shared" si="103"/>
        <v>41231</v>
      </c>
      <c r="AK94" s="109"/>
      <c r="AL94" s="106">
        <f t="shared" si="104"/>
        <v>41231</v>
      </c>
      <c r="AM94" s="109"/>
      <c r="AN94" s="106">
        <f t="shared" si="105"/>
        <v>41231</v>
      </c>
      <c r="AO94" s="106">
        <v>38199</v>
      </c>
      <c r="AP94" s="113">
        <v>41231</v>
      </c>
      <c r="AQ94" s="248">
        <v>47672</v>
      </c>
      <c r="AR94" s="277"/>
      <c r="AS94" s="244">
        <f t="shared" si="106"/>
        <v>47672</v>
      </c>
      <c r="AT94" s="169"/>
      <c r="AU94" s="158"/>
      <c r="AV94" s="103"/>
      <c r="AW94" s="131"/>
      <c r="AX94" s="127"/>
    </row>
    <row r="95" spans="1:50" ht="12.75" hidden="1">
      <c r="A95" s="21"/>
      <c r="B95" s="27">
        <v>4580</v>
      </c>
      <c r="C95" s="18" t="s">
        <v>136</v>
      </c>
      <c r="D95" s="104">
        <v>100</v>
      </c>
      <c r="E95" s="106"/>
      <c r="F95" s="106">
        <f t="shared" si="107"/>
        <v>100</v>
      </c>
      <c r="G95" s="109"/>
      <c r="H95" s="106">
        <f t="shared" si="91"/>
        <v>100</v>
      </c>
      <c r="I95" s="109"/>
      <c r="J95" s="106">
        <f t="shared" si="92"/>
        <v>100</v>
      </c>
      <c r="K95" s="110"/>
      <c r="L95" s="106">
        <f t="shared" si="93"/>
        <v>100</v>
      </c>
      <c r="M95" s="109"/>
      <c r="N95" s="106">
        <f t="shared" si="94"/>
        <v>100</v>
      </c>
      <c r="O95" s="106"/>
      <c r="P95" s="106">
        <f t="shared" si="94"/>
        <v>100</v>
      </c>
      <c r="Q95" s="109"/>
      <c r="R95" s="106">
        <f t="shared" si="94"/>
        <v>100</v>
      </c>
      <c r="S95" s="109"/>
      <c r="T95" s="106">
        <f t="shared" si="95"/>
        <v>100</v>
      </c>
      <c r="U95" s="109"/>
      <c r="V95" s="106">
        <f t="shared" si="96"/>
        <v>100</v>
      </c>
      <c r="W95" s="109"/>
      <c r="X95" s="106">
        <f t="shared" si="97"/>
        <v>100</v>
      </c>
      <c r="Y95" s="109"/>
      <c r="Z95" s="106">
        <f t="shared" si="98"/>
        <v>100</v>
      </c>
      <c r="AA95" s="109"/>
      <c r="AB95" s="106">
        <f t="shared" si="99"/>
        <v>100</v>
      </c>
      <c r="AC95" s="109"/>
      <c r="AD95" s="106">
        <f t="shared" si="100"/>
        <v>100</v>
      </c>
      <c r="AE95" s="109"/>
      <c r="AF95" s="106">
        <f t="shared" si="101"/>
        <v>100</v>
      </c>
      <c r="AG95" s="147"/>
      <c r="AH95" s="106">
        <f t="shared" si="102"/>
        <v>100</v>
      </c>
      <c r="AI95" s="109"/>
      <c r="AJ95" s="106">
        <f t="shared" si="103"/>
        <v>100</v>
      </c>
      <c r="AK95" s="109"/>
      <c r="AL95" s="106">
        <f t="shared" si="104"/>
        <v>100</v>
      </c>
      <c r="AM95" s="109"/>
      <c r="AN95" s="106">
        <f t="shared" si="105"/>
        <v>100</v>
      </c>
      <c r="AO95" s="106">
        <v>0</v>
      </c>
      <c r="AP95" s="113">
        <v>45</v>
      </c>
      <c r="AQ95" s="243">
        <v>0</v>
      </c>
      <c r="AR95" s="275"/>
      <c r="AS95" s="244">
        <f t="shared" si="106"/>
        <v>0</v>
      </c>
      <c r="AT95" s="158"/>
      <c r="AU95" s="103"/>
      <c r="AV95" s="103"/>
      <c r="AW95" s="131"/>
      <c r="AX95" s="127"/>
    </row>
    <row r="96" spans="1:50" ht="12.75" hidden="1">
      <c r="A96" s="21"/>
      <c r="B96" s="27">
        <v>4610</v>
      </c>
      <c r="C96" s="18" t="s">
        <v>135</v>
      </c>
      <c r="D96" s="104">
        <v>100</v>
      </c>
      <c r="E96" s="106"/>
      <c r="F96" s="106">
        <f t="shared" si="107"/>
        <v>100</v>
      </c>
      <c r="G96" s="109"/>
      <c r="H96" s="106">
        <f t="shared" si="91"/>
        <v>100</v>
      </c>
      <c r="I96" s="109"/>
      <c r="J96" s="106">
        <f t="shared" si="92"/>
        <v>100</v>
      </c>
      <c r="K96" s="110"/>
      <c r="L96" s="106">
        <f t="shared" si="93"/>
        <v>100</v>
      </c>
      <c r="M96" s="109"/>
      <c r="N96" s="106">
        <f t="shared" si="94"/>
        <v>100</v>
      </c>
      <c r="O96" s="106"/>
      <c r="P96" s="106">
        <f t="shared" si="94"/>
        <v>100</v>
      </c>
      <c r="Q96" s="109"/>
      <c r="R96" s="106">
        <f t="shared" si="94"/>
        <v>100</v>
      </c>
      <c r="S96" s="109"/>
      <c r="T96" s="106">
        <f t="shared" si="95"/>
        <v>100</v>
      </c>
      <c r="U96" s="109">
        <v>400</v>
      </c>
      <c r="V96" s="106">
        <f t="shared" si="96"/>
        <v>500</v>
      </c>
      <c r="W96" s="109"/>
      <c r="X96" s="106">
        <f t="shared" si="97"/>
        <v>500</v>
      </c>
      <c r="Y96" s="109"/>
      <c r="Z96" s="106">
        <f t="shared" si="98"/>
        <v>500</v>
      </c>
      <c r="AA96" s="109">
        <v>1000</v>
      </c>
      <c r="AB96" s="106">
        <f t="shared" si="99"/>
        <v>1500</v>
      </c>
      <c r="AC96" s="109"/>
      <c r="AD96" s="106">
        <f t="shared" si="100"/>
        <v>1500</v>
      </c>
      <c r="AE96" s="109"/>
      <c r="AF96" s="106">
        <f t="shared" si="101"/>
        <v>1500</v>
      </c>
      <c r="AG96" s="147"/>
      <c r="AH96" s="106">
        <f t="shared" si="102"/>
        <v>1500</v>
      </c>
      <c r="AI96" s="109"/>
      <c r="AJ96" s="106">
        <f t="shared" si="103"/>
        <v>1500</v>
      </c>
      <c r="AK96" s="109"/>
      <c r="AL96" s="106">
        <f t="shared" si="104"/>
        <v>1500</v>
      </c>
      <c r="AM96" s="109"/>
      <c r="AN96" s="106">
        <f t="shared" si="105"/>
        <v>1500</v>
      </c>
      <c r="AO96" s="106">
        <v>0</v>
      </c>
      <c r="AP96" s="113">
        <v>543</v>
      </c>
      <c r="AQ96" s="243">
        <f>1000-108-500</f>
        <v>392</v>
      </c>
      <c r="AR96" s="275"/>
      <c r="AS96" s="244">
        <f t="shared" si="106"/>
        <v>392</v>
      </c>
      <c r="AT96" s="158"/>
      <c r="AU96" s="103"/>
      <c r="AV96" s="103"/>
      <c r="AW96" s="131"/>
      <c r="AX96" s="127"/>
    </row>
    <row r="97" spans="1:50" ht="25.5" hidden="1">
      <c r="A97" s="21"/>
      <c r="B97" s="27">
        <v>4700</v>
      </c>
      <c r="C97" s="18" t="s">
        <v>51</v>
      </c>
      <c r="D97" s="104">
        <v>20000</v>
      </c>
      <c r="E97" s="106"/>
      <c r="F97" s="106">
        <f t="shared" si="107"/>
        <v>20000</v>
      </c>
      <c r="G97" s="109"/>
      <c r="H97" s="106">
        <f t="shared" si="91"/>
        <v>20000</v>
      </c>
      <c r="I97" s="109"/>
      <c r="J97" s="106">
        <f t="shared" si="92"/>
        <v>20000</v>
      </c>
      <c r="K97" s="110"/>
      <c r="L97" s="106">
        <f t="shared" si="93"/>
        <v>20000</v>
      </c>
      <c r="M97" s="109"/>
      <c r="N97" s="106">
        <f t="shared" si="94"/>
        <v>20000</v>
      </c>
      <c r="O97" s="106"/>
      <c r="P97" s="106">
        <f t="shared" si="94"/>
        <v>20000</v>
      </c>
      <c r="Q97" s="109"/>
      <c r="R97" s="106">
        <f t="shared" si="94"/>
        <v>20000</v>
      </c>
      <c r="S97" s="109"/>
      <c r="T97" s="106">
        <f t="shared" si="95"/>
        <v>20000</v>
      </c>
      <c r="U97" s="109"/>
      <c r="V97" s="106">
        <f t="shared" si="96"/>
        <v>20000</v>
      </c>
      <c r="W97" s="109"/>
      <c r="X97" s="106">
        <f t="shared" si="97"/>
        <v>20000</v>
      </c>
      <c r="Y97" s="109"/>
      <c r="Z97" s="106">
        <f t="shared" si="98"/>
        <v>20000</v>
      </c>
      <c r="AA97" s="109"/>
      <c r="AB97" s="106">
        <f t="shared" si="99"/>
        <v>20000</v>
      </c>
      <c r="AC97" s="109"/>
      <c r="AD97" s="106">
        <f t="shared" si="100"/>
        <v>20000</v>
      </c>
      <c r="AE97" s="109"/>
      <c r="AF97" s="106">
        <f t="shared" si="101"/>
        <v>20000</v>
      </c>
      <c r="AG97" s="147"/>
      <c r="AH97" s="106">
        <f t="shared" si="102"/>
        <v>20000</v>
      </c>
      <c r="AI97" s="109"/>
      <c r="AJ97" s="106">
        <f t="shared" si="103"/>
        <v>20000</v>
      </c>
      <c r="AK97" s="109"/>
      <c r="AL97" s="106">
        <f t="shared" si="104"/>
        <v>20000</v>
      </c>
      <c r="AM97" s="109"/>
      <c r="AN97" s="106">
        <f t="shared" si="105"/>
        <v>20000</v>
      </c>
      <c r="AO97" s="106">
        <v>16151</v>
      </c>
      <c r="AP97" s="113">
        <v>9523</v>
      </c>
      <c r="AQ97" s="243">
        <v>19000</v>
      </c>
      <c r="AR97" s="275"/>
      <c r="AS97" s="244">
        <f t="shared" si="106"/>
        <v>19000</v>
      </c>
      <c r="AT97" s="158"/>
      <c r="AU97" s="103">
        <f>(AP97/3*4)</f>
        <v>12697.333333333334</v>
      </c>
      <c r="AV97" s="103"/>
      <c r="AW97" s="131"/>
      <c r="AX97" s="127"/>
    </row>
    <row r="98" spans="1:50" ht="25.5" hidden="1">
      <c r="A98" s="21"/>
      <c r="B98" s="27">
        <v>4740</v>
      </c>
      <c r="C98" s="18" t="s">
        <v>52</v>
      </c>
      <c r="D98" s="104">
        <v>15000</v>
      </c>
      <c r="E98" s="106"/>
      <c r="F98" s="106">
        <f t="shared" si="107"/>
        <v>15000</v>
      </c>
      <c r="G98" s="109"/>
      <c r="H98" s="106">
        <f t="shared" si="91"/>
        <v>15000</v>
      </c>
      <c r="I98" s="109"/>
      <c r="J98" s="106">
        <f t="shared" si="92"/>
        <v>15000</v>
      </c>
      <c r="K98" s="110"/>
      <c r="L98" s="106">
        <f t="shared" si="93"/>
        <v>15000</v>
      </c>
      <c r="M98" s="109"/>
      <c r="N98" s="106">
        <f t="shared" si="94"/>
        <v>15000</v>
      </c>
      <c r="O98" s="106"/>
      <c r="P98" s="106">
        <f t="shared" si="94"/>
        <v>15000</v>
      </c>
      <c r="Q98" s="109"/>
      <c r="R98" s="106">
        <f t="shared" si="94"/>
        <v>15000</v>
      </c>
      <c r="S98" s="109"/>
      <c r="T98" s="106">
        <f t="shared" si="95"/>
        <v>15000</v>
      </c>
      <c r="U98" s="109">
        <v>-400</v>
      </c>
      <c r="V98" s="106">
        <f t="shared" si="96"/>
        <v>14600</v>
      </c>
      <c r="W98" s="109"/>
      <c r="X98" s="106">
        <f t="shared" si="97"/>
        <v>14600</v>
      </c>
      <c r="Y98" s="109"/>
      <c r="Z98" s="106">
        <f t="shared" si="98"/>
        <v>14600</v>
      </c>
      <c r="AA98" s="109"/>
      <c r="AB98" s="106">
        <f t="shared" si="99"/>
        <v>14600</v>
      </c>
      <c r="AC98" s="109"/>
      <c r="AD98" s="106">
        <f t="shared" si="100"/>
        <v>14600</v>
      </c>
      <c r="AE98" s="109"/>
      <c r="AF98" s="106">
        <f t="shared" si="101"/>
        <v>14600</v>
      </c>
      <c r="AG98" s="147"/>
      <c r="AH98" s="106">
        <f t="shared" si="102"/>
        <v>14600</v>
      </c>
      <c r="AI98" s="109"/>
      <c r="AJ98" s="106">
        <f t="shared" si="103"/>
        <v>14600</v>
      </c>
      <c r="AK98" s="109">
        <v>-7650</v>
      </c>
      <c r="AL98" s="106">
        <f t="shared" si="104"/>
        <v>6950</v>
      </c>
      <c r="AM98" s="109"/>
      <c r="AN98" s="106">
        <f t="shared" si="105"/>
        <v>6950</v>
      </c>
      <c r="AO98" s="106">
        <v>6085</v>
      </c>
      <c r="AP98" s="113">
        <v>4884</v>
      </c>
      <c r="AQ98" s="243">
        <v>8000</v>
      </c>
      <c r="AR98" s="275"/>
      <c r="AS98" s="244">
        <f t="shared" si="106"/>
        <v>8000</v>
      </c>
      <c r="AT98" s="158"/>
      <c r="AU98" s="103"/>
      <c r="AV98" s="103"/>
      <c r="AW98" s="131"/>
      <c r="AX98" s="127"/>
    </row>
    <row r="99" spans="1:50" ht="12.75" hidden="1">
      <c r="A99" s="21"/>
      <c r="B99" s="27">
        <v>4750</v>
      </c>
      <c r="C99" s="18" t="s">
        <v>53</v>
      </c>
      <c r="D99" s="104">
        <v>87000</v>
      </c>
      <c r="E99" s="106"/>
      <c r="F99" s="106">
        <f t="shared" si="107"/>
        <v>87000</v>
      </c>
      <c r="G99" s="109"/>
      <c r="H99" s="106">
        <f t="shared" si="91"/>
        <v>87000</v>
      </c>
      <c r="I99" s="109"/>
      <c r="J99" s="106">
        <f t="shared" si="92"/>
        <v>87000</v>
      </c>
      <c r="K99" s="110"/>
      <c r="L99" s="106">
        <f t="shared" si="93"/>
        <v>87000</v>
      </c>
      <c r="M99" s="109"/>
      <c r="N99" s="106">
        <f t="shared" si="94"/>
        <v>87000</v>
      </c>
      <c r="O99" s="106"/>
      <c r="P99" s="106">
        <f t="shared" si="94"/>
        <v>87000</v>
      </c>
      <c r="Q99" s="109"/>
      <c r="R99" s="106">
        <f t="shared" si="94"/>
        <v>87000</v>
      </c>
      <c r="S99" s="109"/>
      <c r="T99" s="106">
        <f t="shared" si="95"/>
        <v>87000</v>
      </c>
      <c r="U99" s="109"/>
      <c r="V99" s="106">
        <f t="shared" si="96"/>
        <v>87000</v>
      </c>
      <c r="W99" s="109"/>
      <c r="X99" s="106">
        <f t="shared" si="97"/>
        <v>87000</v>
      </c>
      <c r="Y99" s="109"/>
      <c r="Z99" s="106">
        <f t="shared" si="98"/>
        <v>87000</v>
      </c>
      <c r="AA99" s="109"/>
      <c r="AB99" s="106">
        <f t="shared" si="99"/>
        <v>87000</v>
      </c>
      <c r="AC99" s="109"/>
      <c r="AD99" s="106">
        <f t="shared" si="100"/>
        <v>87000</v>
      </c>
      <c r="AE99" s="109"/>
      <c r="AF99" s="106">
        <f t="shared" si="101"/>
        <v>87000</v>
      </c>
      <c r="AG99" s="147"/>
      <c r="AH99" s="106">
        <f t="shared" si="102"/>
        <v>87000</v>
      </c>
      <c r="AI99" s="109"/>
      <c r="AJ99" s="106">
        <f t="shared" si="103"/>
        <v>87000</v>
      </c>
      <c r="AK99" s="109"/>
      <c r="AL99" s="106">
        <f t="shared" si="104"/>
        <v>87000</v>
      </c>
      <c r="AM99" s="109"/>
      <c r="AN99" s="106">
        <f t="shared" si="105"/>
        <v>87000</v>
      </c>
      <c r="AO99" s="106">
        <v>90757</v>
      </c>
      <c r="AP99" s="113">
        <f>53650+2187+162+162+1120+1239</f>
        <v>58520</v>
      </c>
      <c r="AQ99" s="243">
        <v>87000</v>
      </c>
      <c r="AR99" s="275"/>
      <c r="AS99" s="244">
        <f t="shared" si="106"/>
        <v>87000</v>
      </c>
      <c r="AT99" s="158"/>
      <c r="AU99" s="103"/>
      <c r="AV99" s="103"/>
      <c r="AW99" s="131"/>
      <c r="AX99" s="127"/>
    </row>
    <row r="100" spans="1:52" ht="12.75" hidden="1">
      <c r="A100" s="21"/>
      <c r="B100" s="27">
        <v>6060</v>
      </c>
      <c r="C100" s="18" t="s">
        <v>61</v>
      </c>
      <c r="D100" s="104"/>
      <c r="E100" s="106"/>
      <c r="F100" s="106"/>
      <c r="G100" s="109"/>
      <c r="H100" s="106"/>
      <c r="I100" s="109"/>
      <c r="J100" s="106"/>
      <c r="K100" s="110"/>
      <c r="L100" s="106"/>
      <c r="M100" s="109">
        <v>100000</v>
      </c>
      <c r="N100" s="106">
        <f t="shared" si="94"/>
        <v>100000</v>
      </c>
      <c r="O100" s="106"/>
      <c r="P100" s="106">
        <f t="shared" si="94"/>
        <v>100000</v>
      </c>
      <c r="Q100" s="109">
        <v>364000</v>
      </c>
      <c r="R100" s="106">
        <f t="shared" si="94"/>
        <v>464000</v>
      </c>
      <c r="S100" s="109"/>
      <c r="T100" s="106">
        <f t="shared" si="95"/>
        <v>464000</v>
      </c>
      <c r="U100" s="109"/>
      <c r="V100" s="106">
        <f t="shared" si="96"/>
        <v>464000</v>
      </c>
      <c r="W100" s="109"/>
      <c r="X100" s="106">
        <f t="shared" si="97"/>
        <v>464000</v>
      </c>
      <c r="Y100" s="109"/>
      <c r="Z100" s="106">
        <f t="shared" si="98"/>
        <v>464000</v>
      </c>
      <c r="AA100" s="109"/>
      <c r="AB100" s="106">
        <f t="shared" si="99"/>
        <v>464000</v>
      </c>
      <c r="AC100" s="109"/>
      <c r="AD100" s="106">
        <f t="shared" si="100"/>
        <v>464000</v>
      </c>
      <c r="AE100" s="109"/>
      <c r="AF100" s="106">
        <f t="shared" si="101"/>
        <v>464000</v>
      </c>
      <c r="AG100" s="147">
        <v>25000</v>
      </c>
      <c r="AH100" s="106">
        <f t="shared" si="102"/>
        <v>489000</v>
      </c>
      <c r="AI100" s="109"/>
      <c r="AJ100" s="106">
        <f t="shared" si="103"/>
        <v>489000</v>
      </c>
      <c r="AK100" s="109"/>
      <c r="AL100" s="106">
        <f t="shared" si="104"/>
        <v>489000</v>
      </c>
      <c r="AM100" s="109"/>
      <c r="AN100" s="106">
        <f t="shared" si="105"/>
        <v>489000</v>
      </c>
      <c r="AO100" s="106">
        <v>4379</v>
      </c>
      <c r="AP100" s="113">
        <v>488621</v>
      </c>
      <c r="AQ100" s="243">
        <v>0</v>
      </c>
      <c r="AR100" s="275"/>
      <c r="AS100" s="244">
        <f t="shared" si="106"/>
        <v>0</v>
      </c>
      <c r="AT100" s="158"/>
      <c r="AU100" s="103"/>
      <c r="AV100" s="103"/>
      <c r="AW100" s="154"/>
      <c r="AX100" s="155"/>
      <c r="AY100" s="149"/>
      <c r="AZ100" s="149"/>
    </row>
    <row r="101" spans="1:50" ht="12.75" hidden="1">
      <c r="A101" s="31">
        <v>75075</v>
      </c>
      <c r="B101" s="26"/>
      <c r="C101" s="19" t="s">
        <v>54</v>
      </c>
      <c r="D101" s="190">
        <f aca="true" t="shared" si="108" ref="D101:J101">SUM(D103:D104)</f>
        <v>37000</v>
      </c>
      <c r="E101" s="190">
        <f t="shared" si="108"/>
        <v>0</v>
      </c>
      <c r="F101" s="190">
        <f t="shared" si="108"/>
        <v>37000</v>
      </c>
      <c r="G101" s="190">
        <f t="shared" si="108"/>
        <v>0</v>
      </c>
      <c r="H101" s="190">
        <f t="shared" si="108"/>
        <v>37000</v>
      </c>
      <c r="I101" s="190">
        <f t="shared" si="108"/>
        <v>0</v>
      </c>
      <c r="J101" s="190">
        <f t="shared" si="108"/>
        <v>37000</v>
      </c>
      <c r="K101" s="110"/>
      <c r="L101" s="190">
        <f>SUM(L103:L104)</f>
        <v>37000</v>
      </c>
      <c r="M101" s="109"/>
      <c r="N101" s="190">
        <f>SUM(N103:N104)</f>
        <v>37000</v>
      </c>
      <c r="O101" s="190"/>
      <c r="P101" s="190">
        <f>SUM(P103:P104)</f>
        <v>37000</v>
      </c>
      <c r="Q101" s="109"/>
      <c r="R101" s="190">
        <f>SUM(R103:R104)</f>
        <v>37000</v>
      </c>
      <c r="S101" s="109"/>
      <c r="T101" s="190">
        <f aca="true" t="shared" si="109" ref="T101:Z101">SUM(T103:T104)</f>
        <v>37000</v>
      </c>
      <c r="U101" s="190">
        <f t="shared" si="109"/>
        <v>20000</v>
      </c>
      <c r="V101" s="190">
        <f t="shared" si="109"/>
        <v>57000</v>
      </c>
      <c r="W101" s="190">
        <f t="shared" si="109"/>
        <v>0</v>
      </c>
      <c r="X101" s="190">
        <f t="shared" si="109"/>
        <v>57000</v>
      </c>
      <c r="Y101" s="190">
        <f t="shared" si="109"/>
        <v>0</v>
      </c>
      <c r="Z101" s="190">
        <f t="shared" si="109"/>
        <v>57000</v>
      </c>
      <c r="AA101" s="190">
        <f aca="true" t="shared" si="110" ref="AA101:AF101">SUM(AA103:AA104)</f>
        <v>0</v>
      </c>
      <c r="AB101" s="190">
        <f t="shared" si="110"/>
        <v>57000</v>
      </c>
      <c r="AC101" s="190">
        <f t="shared" si="110"/>
        <v>0</v>
      </c>
      <c r="AD101" s="190">
        <f t="shared" si="110"/>
        <v>57000</v>
      </c>
      <c r="AE101" s="190">
        <f t="shared" si="110"/>
        <v>0</v>
      </c>
      <c r="AF101" s="190">
        <f t="shared" si="110"/>
        <v>57000</v>
      </c>
      <c r="AG101" s="191">
        <f>SUM(AG103:AG104)</f>
        <v>500</v>
      </c>
      <c r="AH101" s="190">
        <f>SUM(AH103:AH104)</f>
        <v>57500</v>
      </c>
      <c r="AI101" s="190">
        <f>SUM(AI103:AI104)</f>
        <v>0</v>
      </c>
      <c r="AJ101" s="190">
        <f>SUM(AJ103:AJ104)</f>
        <v>57500</v>
      </c>
      <c r="AK101" s="190">
        <f aca="true" t="shared" si="111" ref="AK101:AQ101">SUM(AK102:AK104)</f>
        <v>1100</v>
      </c>
      <c r="AL101" s="190">
        <f t="shared" si="111"/>
        <v>58600</v>
      </c>
      <c r="AM101" s="190">
        <f t="shared" si="111"/>
        <v>0</v>
      </c>
      <c r="AN101" s="190">
        <f t="shared" si="111"/>
        <v>58600</v>
      </c>
      <c r="AO101" s="190">
        <f t="shared" si="111"/>
        <v>33213</v>
      </c>
      <c r="AP101" s="81">
        <f t="shared" si="111"/>
        <v>48866</v>
      </c>
      <c r="AQ101" s="247">
        <f t="shared" si="111"/>
        <v>45000</v>
      </c>
      <c r="AR101" s="274"/>
      <c r="AS101" s="244">
        <f t="shared" si="106"/>
        <v>45000</v>
      </c>
      <c r="AT101" s="158"/>
      <c r="AU101" s="103"/>
      <c r="AV101" s="103"/>
      <c r="AW101" s="131"/>
      <c r="AX101" s="127"/>
    </row>
    <row r="102" spans="1:50" ht="12.75" hidden="1">
      <c r="A102" s="31"/>
      <c r="B102" s="27">
        <v>4170</v>
      </c>
      <c r="C102" s="18" t="s">
        <v>42</v>
      </c>
      <c r="D102" s="190"/>
      <c r="E102" s="190"/>
      <c r="F102" s="190"/>
      <c r="G102" s="190"/>
      <c r="H102" s="190"/>
      <c r="I102" s="190"/>
      <c r="J102" s="190"/>
      <c r="K102" s="110"/>
      <c r="L102" s="190"/>
      <c r="M102" s="109"/>
      <c r="N102" s="190"/>
      <c r="O102" s="190"/>
      <c r="P102" s="190"/>
      <c r="Q102" s="109"/>
      <c r="R102" s="190"/>
      <c r="S102" s="109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1"/>
      <c r="AH102" s="190"/>
      <c r="AI102" s="190"/>
      <c r="AJ102" s="190"/>
      <c r="AK102" s="109">
        <v>0</v>
      </c>
      <c r="AL102" s="106">
        <f>AK102+AJ102</f>
        <v>0</v>
      </c>
      <c r="AM102" s="109">
        <v>0</v>
      </c>
      <c r="AN102" s="106">
        <f>AM102+AL102</f>
        <v>0</v>
      </c>
      <c r="AO102" s="106">
        <v>1200</v>
      </c>
      <c r="AP102" s="113">
        <v>0</v>
      </c>
      <c r="AQ102" s="243">
        <v>0</v>
      </c>
      <c r="AR102" s="275"/>
      <c r="AS102" s="244">
        <f t="shared" si="106"/>
        <v>0</v>
      </c>
      <c r="AT102" s="158"/>
      <c r="AU102" s="103"/>
      <c r="AV102" s="103"/>
      <c r="AW102" s="131"/>
      <c r="AX102" s="127"/>
    </row>
    <row r="103" spans="1:50" ht="12.75" hidden="1">
      <c r="A103" s="31"/>
      <c r="B103" s="27">
        <v>4210</v>
      </c>
      <c r="C103" s="27" t="s">
        <v>14</v>
      </c>
      <c r="D103" s="104">
        <v>20000</v>
      </c>
      <c r="E103" s="106"/>
      <c r="F103" s="106">
        <f t="shared" si="107"/>
        <v>20000</v>
      </c>
      <c r="G103" s="109"/>
      <c r="H103" s="106">
        <f>G103+F103</f>
        <v>20000</v>
      </c>
      <c r="I103" s="109"/>
      <c r="J103" s="106">
        <f>I103+H103</f>
        <v>20000</v>
      </c>
      <c r="K103" s="110"/>
      <c r="L103" s="106">
        <f>K103+H103</f>
        <v>20000</v>
      </c>
      <c r="M103" s="109"/>
      <c r="N103" s="106">
        <f>M103+L103</f>
        <v>20000</v>
      </c>
      <c r="O103" s="106"/>
      <c r="P103" s="106">
        <f>O103+N103</f>
        <v>20000</v>
      </c>
      <c r="Q103" s="109"/>
      <c r="R103" s="106">
        <f>Q103+P103</f>
        <v>20000</v>
      </c>
      <c r="S103" s="109"/>
      <c r="T103" s="106">
        <f>S103+R103</f>
        <v>20000</v>
      </c>
      <c r="U103" s="109">
        <v>15000</v>
      </c>
      <c r="V103" s="106">
        <f>U103+T103</f>
        <v>35000</v>
      </c>
      <c r="W103" s="109"/>
      <c r="X103" s="106">
        <f>W103+V103</f>
        <v>35000</v>
      </c>
      <c r="Y103" s="109"/>
      <c r="Z103" s="106">
        <f>Y103+X103</f>
        <v>35000</v>
      </c>
      <c r="AA103" s="109"/>
      <c r="AB103" s="106">
        <f>AA103+Z103</f>
        <v>35000</v>
      </c>
      <c r="AC103" s="109">
        <v>-5000</v>
      </c>
      <c r="AD103" s="106">
        <f>AC103+AB103</f>
        <v>30000</v>
      </c>
      <c r="AE103" s="109">
        <v>-3000</v>
      </c>
      <c r="AF103" s="106">
        <f>AE103+AD103</f>
        <v>27000</v>
      </c>
      <c r="AG103" s="147"/>
      <c r="AH103" s="106">
        <f>AG103+AF103</f>
        <v>27000</v>
      </c>
      <c r="AI103" s="109"/>
      <c r="AJ103" s="106">
        <f>AI103+AH103</f>
        <v>27000</v>
      </c>
      <c r="AK103" s="109"/>
      <c r="AL103" s="106">
        <f>AK103+AJ103</f>
        <v>27000</v>
      </c>
      <c r="AM103" s="109"/>
      <c r="AN103" s="106">
        <f>AM103+AL103</f>
        <v>27000</v>
      </c>
      <c r="AO103" s="106">
        <v>7603</v>
      </c>
      <c r="AP103" s="113">
        <v>20814</v>
      </c>
      <c r="AQ103" s="243">
        <v>25000</v>
      </c>
      <c r="AR103" s="275"/>
      <c r="AS103" s="244">
        <f t="shared" si="106"/>
        <v>25000</v>
      </c>
      <c r="AT103" s="158"/>
      <c r="AU103" s="103"/>
      <c r="AV103" s="103"/>
      <c r="AW103" s="131"/>
      <c r="AX103" s="127"/>
    </row>
    <row r="104" spans="1:55" ht="12.75" hidden="1">
      <c r="A104" s="21"/>
      <c r="B104" s="27">
        <v>4300</v>
      </c>
      <c r="C104" s="18" t="s">
        <v>15</v>
      </c>
      <c r="D104" s="104">
        <v>17000</v>
      </c>
      <c r="E104" s="106"/>
      <c r="F104" s="106">
        <f t="shared" si="107"/>
        <v>17000</v>
      </c>
      <c r="G104" s="109"/>
      <c r="H104" s="106">
        <f>G104+F104</f>
        <v>17000</v>
      </c>
      <c r="I104" s="109"/>
      <c r="J104" s="106">
        <f>I104+H104</f>
        <v>17000</v>
      </c>
      <c r="K104" s="110"/>
      <c r="L104" s="106">
        <f>K104+H104</f>
        <v>17000</v>
      </c>
      <c r="M104" s="109"/>
      <c r="N104" s="106">
        <f>M104+L104</f>
        <v>17000</v>
      </c>
      <c r="O104" s="106"/>
      <c r="P104" s="106">
        <f>O104+N104</f>
        <v>17000</v>
      </c>
      <c r="Q104" s="109"/>
      <c r="R104" s="106">
        <f>Q104+P104</f>
        <v>17000</v>
      </c>
      <c r="S104" s="109"/>
      <c r="T104" s="106">
        <f>S104+R104</f>
        <v>17000</v>
      </c>
      <c r="U104" s="109">
        <v>5000</v>
      </c>
      <c r="V104" s="106">
        <f>U104+T104</f>
        <v>22000</v>
      </c>
      <c r="W104" s="109"/>
      <c r="X104" s="106">
        <f>W104+V104</f>
        <v>22000</v>
      </c>
      <c r="Y104" s="109"/>
      <c r="Z104" s="106">
        <f>Y104+X104</f>
        <v>22000</v>
      </c>
      <c r="AA104" s="109"/>
      <c r="AB104" s="106">
        <f>AA104+Z104</f>
        <v>22000</v>
      </c>
      <c r="AC104" s="109">
        <v>5000</v>
      </c>
      <c r="AD104" s="106">
        <f>AC104+AB104</f>
        <v>27000</v>
      </c>
      <c r="AE104" s="109">
        <v>3000</v>
      </c>
      <c r="AF104" s="106">
        <f>AE104+AD104</f>
        <v>30000</v>
      </c>
      <c r="AG104" s="147">
        <v>500</v>
      </c>
      <c r="AH104" s="106">
        <f>AG104+AF104</f>
        <v>30500</v>
      </c>
      <c r="AI104" s="109"/>
      <c r="AJ104" s="106">
        <f>AI104+AH104</f>
        <v>30500</v>
      </c>
      <c r="AK104" s="109">
        <v>1100</v>
      </c>
      <c r="AL104" s="106">
        <f>AK104+AJ104</f>
        <v>31600</v>
      </c>
      <c r="AM104" s="109"/>
      <c r="AN104" s="106">
        <f>AM104+AL104</f>
        <v>31600</v>
      </c>
      <c r="AO104" s="106">
        <v>24410</v>
      </c>
      <c r="AP104" s="113">
        <f>26344+1708</f>
        <v>28052</v>
      </c>
      <c r="AQ104" s="243">
        <v>20000</v>
      </c>
      <c r="AR104" s="275"/>
      <c r="AS104" s="244">
        <f t="shared" si="106"/>
        <v>20000</v>
      </c>
      <c r="AT104" s="158"/>
      <c r="AU104" s="103"/>
      <c r="AV104" s="103"/>
      <c r="AW104" s="131" t="s">
        <v>178</v>
      </c>
      <c r="AX104" s="127"/>
      <c r="AZ104" t="s">
        <v>179</v>
      </c>
      <c r="BB104">
        <f>12*488</f>
        <v>5856</v>
      </c>
      <c r="BC104" t="s">
        <v>186</v>
      </c>
    </row>
    <row r="105" spans="1:50" ht="12.75" hidden="1">
      <c r="A105" s="31">
        <v>75095</v>
      </c>
      <c r="B105" s="26"/>
      <c r="C105" s="19" t="s">
        <v>13</v>
      </c>
      <c r="D105" s="190">
        <f aca="true" t="shared" si="112" ref="D105:J105">SUM(D106:D116)</f>
        <v>66500</v>
      </c>
      <c r="E105" s="190">
        <f t="shared" si="112"/>
        <v>0</v>
      </c>
      <c r="F105" s="190">
        <f t="shared" si="112"/>
        <v>66500</v>
      </c>
      <c r="G105" s="190">
        <f t="shared" si="112"/>
        <v>0</v>
      </c>
      <c r="H105" s="190">
        <f t="shared" si="112"/>
        <v>66500</v>
      </c>
      <c r="I105" s="190">
        <f t="shared" si="112"/>
        <v>0</v>
      </c>
      <c r="J105" s="190">
        <f t="shared" si="112"/>
        <v>66500</v>
      </c>
      <c r="K105" s="110"/>
      <c r="L105" s="190">
        <f>SUM(L106:L116)</f>
        <v>66500</v>
      </c>
      <c r="M105" s="109"/>
      <c r="N105" s="190">
        <f>SUM(N106:N116)</f>
        <v>66500</v>
      </c>
      <c r="O105" s="190"/>
      <c r="P105" s="190">
        <f>SUM(P106:P116)</f>
        <v>66500</v>
      </c>
      <c r="Q105" s="109"/>
      <c r="R105" s="190">
        <f aca="true" t="shared" si="113" ref="R105:X105">SUM(R106:R116)</f>
        <v>66500</v>
      </c>
      <c r="S105" s="190">
        <f t="shared" si="113"/>
        <v>0</v>
      </c>
      <c r="T105" s="190">
        <f t="shared" si="113"/>
        <v>66500</v>
      </c>
      <c r="U105" s="190">
        <f t="shared" si="113"/>
        <v>0</v>
      </c>
      <c r="V105" s="190">
        <f t="shared" si="113"/>
        <v>66500</v>
      </c>
      <c r="W105" s="190">
        <f t="shared" si="113"/>
        <v>0</v>
      </c>
      <c r="X105" s="190">
        <f t="shared" si="113"/>
        <v>66500</v>
      </c>
      <c r="Y105" s="190">
        <f aca="true" t="shared" si="114" ref="Y105:AD105">SUM(Y106:Y116)</f>
        <v>0</v>
      </c>
      <c r="Z105" s="190">
        <f t="shared" si="114"/>
        <v>66500</v>
      </c>
      <c r="AA105" s="190">
        <f t="shared" si="114"/>
        <v>0</v>
      </c>
      <c r="AB105" s="190">
        <f t="shared" si="114"/>
        <v>66500</v>
      </c>
      <c r="AC105" s="190">
        <f t="shared" si="114"/>
        <v>0</v>
      </c>
      <c r="AD105" s="190">
        <f t="shared" si="114"/>
        <v>66500</v>
      </c>
      <c r="AE105" s="190">
        <f aca="true" t="shared" si="115" ref="AE105:AJ105">SUM(AE106:AE116)</f>
        <v>0</v>
      </c>
      <c r="AF105" s="190">
        <f t="shared" si="115"/>
        <v>66500</v>
      </c>
      <c r="AG105" s="191">
        <f t="shared" si="115"/>
        <v>0</v>
      </c>
      <c r="AH105" s="190">
        <f t="shared" si="115"/>
        <v>66500</v>
      </c>
      <c r="AI105" s="190">
        <f t="shared" si="115"/>
        <v>0</v>
      </c>
      <c r="AJ105" s="190">
        <f t="shared" si="115"/>
        <v>66500</v>
      </c>
      <c r="AK105" s="190">
        <f aca="true" t="shared" si="116" ref="AK105:AQ105">SUM(AK106:AK116)</f>
        <v>-7050</v>
      </c>
      <c r="AL105" s="190">
        <f t="shared" si="116"/>
        <v>59450</v>
      </c>
      <c r="AM105" s="190">
        <f t="shared" si="116"/>
        <v>0</v>
      </c>
      <c r="AN105" s="190">
        <f t="shared" si="116"/>
        <v>59450</v>
      </c>
      <c r="AO105" s="190">
        <f t="shared" si="116"/>
        <v>46309</v>
      </c>
      <c r="AP105" s="81">
        <f t="shared" si="116"/>
        <v>32594</v>
      </c>
      <c r="AQ105" s="247">
        <f t="shared" si="116"/>
        <v>58100</v>
      </c>
      <c r="AR105" s="274"/>
      <c r="AS105" s="244">
        <f t="shared" si="106"/>
        <v>58100</v>
      </c>
      <c r="AT105" s="158"/>
      <c r="AU105" s="103"/>
      <c r="AV105" s="103"/>
      <c r="AW105" s="131">
        <v>2000</v>
      </c>
      <c r="AX105" s="127" t="s">
        <v>153</v>
      </c>
    </row>
    <row r="106" spans="1:50" ht="12.75" hidden="1">
      <c r="A106" s="31"/>
      <c r="B106" s="27">
        <v>4170</v>
      </c>
      <c r="C106" s="18" t="s">
        <v>42</v>
      </c>
      <c r="D106" s="104">
        <v>0</v>
      </c>
      <c r="E106" s="190"/>
      <c r="F106" s="106">
        <f>D106+E106</f>
        <v>0</v>
      </c>
      <c r="G106" s="109">
        <v>1000</v>
      </c>
      <c r="H106" s="106">
        <f aca="true" t="shared" si="117" ref="H106:H116">G106+F106</f>
        <v>1000</v>
      </c>
      <c r="I106" s="109"/>
      <c r="J106" s="106">
        <f aca="true" t="shared" si="118" ref="J106:J116">I106+H106</f>
        <v>1000</v>
      </c>
      <c r="K106" s="110"/>
      <c r="L106" s="106">
        <f aca="true" t="shared" si="119" ref="L106:L116">K106+H106</f>
        <v>1000</v>
      </c>
      <c r="M106" s="109"/>
      <c r="N106" s="106">
        <f aca="true" t="shared" si="120" ref="N106:R116">M106+L106</f>
        <v>1000</v>
      </c>
      <c r="O106" s="106"/>
      <c r="P106" s="106">
        <f t="shared" si="120"/>
        <v>1000</v>
      </c>
      <c r="Q106" s="109"/>
      <c r="R106" s="106">
        <f t="shared" si="120"/>
        <v>1000</v>
      </c>
      <c r="S106" s="109">
        <v>650</v>
      </c>
      <c r="T106" s="106">
        <f aca="true" t="shared" si="121" ref="T106:T116">S106+R106</f>
        <v>1650</v>
      </c>
      <c r="U106" s="109"/>
      <c r="V106" s="106">
        <f aca="true" t="shared" si="122" ref="V106:V116">U106+T106</f>
        <v>1650</v>
      </c>
      <c r="W106" s="109"/>
      <c r="X106" s="106">
        <f aca="true" t="shared" si="123" ref="X106:X116">W106+V106</f>
        <v>1650</v>
      </c>
      <c r="Y106" s="109"/>
      <c r="Z106" s="106">
        <f aca="true" t="shared" si="124" ref="Z106:Z116">Y106+X106</f>
        <v>1650</v>
      </c>
      <c r="AA106" s="109"/>
      <c r="AB106" s="106">
        <f aca="true" t="shared" si="125" ref="AB106:AB116">AA106+Z106</f>
        <v>1650</v>
      </c>
      <c r="AC106" s="109"/>
      <c r="AD106" s="106">
        <f aca="true" t="shared" si="126" ref="AD106:AD116">AC106+AB106</f>
        <v>1650</v>
      </c>
      <c r="AE106" s="109"/>
      <c r="AF106" s="106">
        <f aca="true" t="shared" si="127" ref="AF106:AF116">AE106+AD106</f>
        <v>1650</v>
      </c>
      <c r="AG106" s="147"/>
      <c r="AH106" s="106">
        <f aca="true" t="shared" si="128" ref="AH106:AH116">AG106+AF106</f>
        <v>1650</v>
      </c>
      <c r="AI106" s="109"/>
      <c r="AJ106" s="106">
        <f aca="true" t="shared" si="129" ref="AJ106:AJ116">AI106+AH106</f>
        <v>1650</v>
      </c>
      <c r="AK106" s="109"/>
      <c r="AL106" s="106">
        <f aca="true" t="shared" si="130" ref="AL106:AL116">AK106+AJ106</f>
        <v>1650</v>
      </c>
      <c r="AM106" s="109"/>
      <c r="AN106" s="106">
        <f aca="true" t="shared" si="131" ref="AN106:AN116">AM106+AL106</f>
        <v>1650</v>
      </c>
      <c r="AO106" s="106">
        <v>2300</v>
      </c>
      <c r="AP106" s="113">
        <v>650</v>
      </c>
      <c r="AQ106" s="243">
        <v>1500</v>
      </c>
      <c r="AR106" s="275"/>
      <c r="AS106" s="244">
        <f t="shared" si="106"/>
        <v>1500</v>
      </c>
      <c r="AT106" s="158"/>
      <c r="AU106" s="103"/>
      <c r="AV106" s="103"/>
      <c r="AW106" s="131">
        <f>AW8+AW9+AW26+AW34+AW35+AW37+AW66+AW105</f>
        <v>3502</v>
      </c>
      <c r="AX106" s="127" t="s">
        <v>155</v>
      </c>
    </row>
    <row r="107" spans="1:50" ht="12.75" hidden="1">
      <c r="A107" s="21"/>
      <c r="B107" s="27">
        <v>4210</v>
      </c>
      <c r="C107" s="18" t="s">
        <v>14</v>
      </c>
      <c r="D107" s="104">
        <v>16000</v>
      </c>
      <c r="E107" s="106"/>
      <c r="F107" s="106">
        <f t="shared" si="107"/>
        <v>16000</v>
      </c>
      <c r="G107" s="109">
        <v>-1000</v>
      </c>
      <c r="H107" s="106">
        <f t="shared" si="117"/>
        <v>15000</v>
      </c>
      <c r="I107" s="109"/>
      <c r="J107" s="106">
        <f t="shared" si="118"/>
        <v>15000</v>
      </c>
      <c r="K107" s="110"/>
      <c r="L107" s="106">
        <f t="shared" si="119"/>
        <v>15000</v>
      </c>
      <c r="M107" s="109"/>
      <c r="N107" s="106">
        <f t="shared" si="120"/>
        <v>15000</v>
      </c>
      <c r="O107" s="106"/>
      <c r="P107" s="106">
        <f t="shared" si="120"/>
        <v>15000</v>
      </c>
      <c r="Q107" s="109"/>
      <c r="R107" s="106">
        <f t="shared" si="120"/>
        <v>15000</v>
      </c>
      <c r="S107" s="109"/>
      <c r="T107" s="106">
        <f t="shared" si="121"/>
        <v>15000</v>
      </c>
      <c r="U107" s="109"/>
      <c r="V107" s="106">
        <f t="shared" si="122"/>
        <v>15000</v>
      </c>
      <c r="W107" s="109"/>
      <c r="X107" s="106">
        <f t="shared" si="123"/>
        <v>15000</v>
      </c>
      <c r="Y107" s="109"/>
      <c r="Z107" s="106">
        <f t="shared" si="124"/>
        <v>15000</v>
      </c>
      <c r="AA107" s="109"/>
      <c r="AB107" s="106">
        <f t="shared" si="125"/>
        <v>15000</v>
      </c>
      <c r="AC107" s="109"/>
      <c r="AD107" s="106">
        <f t="shared" si="126"/>
        <v>15000</v>
      </c>
      <c r="AE107" s="109"/>
      <c r="AF107" s="106">
        <f t="shared" si="127"/>
        <v>15000</v>
      </c>
      <c r="AG107" s="147"/>
      <c r="AH107" s="106">
        <f t="shared" si="128"/>
        <v>15000</v>
      </c>
      <c r="AI107" s="109"/>
      <c r="AJ107" s="106">
        <f t="shared" si="129"/>
        <v>15000</v>
      </c>
      <c r="AK107" s="109"/>
      <c r="AL107" s="106">
        <f t="shared" si="130"/>
        <v>15000</v>
      </c>
      <c r="AM107" s="109"/>
      <c r="AN107" s="106">
        <f t="shared" si="131"/>
        <v>15000</v>
      </c>
      <c r="AO107" s="106">
        <v>17323</v>
      </c>
      <c r="AP107" s="113">
        <f>5764+110+104+73</f>
        <v>6051</v>
      </c>
      <c r="AQ107" s="243">
        <v>15000</v>
      </c>
      <c r="AR107" s="275"/>
      <c r="AS107" s="244">
        <f t="shared" si="106"/>
        <v>15000</v>
      </c>
      <c r="AT107" s="158"/>
      <c r="AU107" s="103"/>
      <c r="AV107" s="103"/>
      <c r="AW107" s="131"/>
      <c r="AX107" s="130"/>
    </row>
    <row r="108" spans="1:50" ht="12.75" hidden="1">
      <c r="A108" s="21"/>
      <c r="B108" s="27">
        <v>4260</v>
      </c>
      <c r="C108" s="18" t="s">
        <v>43</v>
      </c>
      <c r="D108" s="104">
        <v>2000</v>
      </c>
      <c r="E108" s="106"/>
      <c r="F108" s="106">
        <f t="shared" si="107"/>
        <v>2000</v>
      </c>
      <c r="G108" s="109"/>
      <c r="H108" s="106">
        <f t="shared" si="117"/>
        <v>2000</v>
      </c>
      <c r="I108" s="109"/>
      <c r="J108" s="106">
        <f t="shared" si="118"/>
        <v>2000</v>
      </c>
      <c r="K108" s="110"/>
      <c r="L108" s="106">
        <f t="shared" si="119"/>
        <v>2000</v>
      </c>
      <c r="M108" s="109"/>
      <c r="N108" s="106">
        <f t="shared" si="120"/>
        <v>2000</v>
      </c>
      <c r="O108" s="106"/>
      <c r="P108" s="106">
        <f t="shared" si="120"/>
        <v>2000</v>
      </c>
      <c r="Q108" s="109"/>
      <c r="R108" s="106">
        <f t="shared" si="120"/>
        <v>2000</v>
      </c>
      <c r="S108" s="109">
        <v>-650</v>
      </c>
      <c r="T108" s="106">
        <f t="shared" si="121"/>
        <v>1350</v>
      </c>
      <c r="U108" s="109"/>
      <c r="V108" s="106">
        <f t="shared" si="122"/>
        <v>1350</v>
      </c>
      <c r="W108" s="109"/>
      <c r="X108" s="106">
        <f t="shared" si="123"/>
        <v>1350</v>
      </c>
      <c r="Y108" s="109"/>
      <c r="Z108" s="106">
        <f t="shared" si="124"/>
        <v>1350</v>
      </c>
      <c r="AA108" s="109"/>
      <c r="AB108" s="106">
        <f t="shared" si="125"/>
        <v>1350</v>
      </c>
      <c r="AC108" s="109"/>
      <c r="AD108" s="106">
        <f t="shared" si="126"/>
        <v>1350</v>
      </c>
      <c r="AE108" s="109"/>
      <c r="AF108" s="106">
        <f t="shared" si="127"/>
        <v>1350</v>
      </c>
      <c r="AG108" s="147"/>
      <c r="AH108" s="106">
        <f t="shared" si="128"/>
        <v>1350</v>
      </c>
      <c r="AI108" s="109"/>
      <c r="AJ108" s="106">
        <f t="shared" si="129"/>
        <v>1350</v>
      </c>
      <c r="AK108" s="109">
        <v>-1350</v>
      </c>
      <c r="AL108" s="106">
        <f t="shared" si="130"/>
        <v>0</v>
      </c>
      <c r="AM108" s="109"/>
      <c r="AN108" s="106">
        <f t="shared" si="131"/>
        <v>0</v>
      </c>
      <c r="AO108" s="106">
        <v>805</v>
      </c>
      <c r="AP108" s="113">
        <v>0</v>
      </c>
      <c r="AQ108" s="243">
        <v>0</v>
      </c>
      <c r="AR108" s="275"/>
      <c r="AS108" s="244">
        <f t="shared" si="106"/>
        <v>0</v>
      </c>
      <c r="AT108" s="158"/>
      <c r="AU108" s="103"/>
      <c r="AV108" s="103"/>
      <c r="AW108" s="131"/>
      <c r="AX108" s="130"/>
    </row>
    <row r="109" spans="1:50" ht="12.75" hidden="1">
      <c r="A109" s="21"/>
      <c r="B109" s="27">
        <v>4270</v>
      </c>
      <c r="C109" s="18" t="s">
        <v>24</v>
      </c>
      <c r="D109" s="104">
        <v>1000</v>
      </c>
      <c r="E109" s="106"/>
      <c r="F109" s="106">
        <f t="shared" si="107"/>
        <v>1000</v>
      </c>
      <c r="G109" s="109"/>
      <c r="H109" s="106">
        <f t="shared" si="117"/>
        <v>1000</v>
      </c>
      <c r="I109" s="109"/>
      <c r="J109" s="106">
        <f t="shared" si="118"/>
        <v>1000</v>
      </c>
      <c r="K109" s="110"/>
      <c r="L109" s="106">
        <f t="shared" si="119"/>
        <v>1000</v>
      </c>
      <c r="M109" s="109"/>
      <c r="N109" s="106">
        <f t="shared" si="120"/>
        <v>1000</v>
      </c>
      <c r="O109" s="106"/>
      <c r="P109" s="106">
        <f t="shared" si="120"/>
        <v>1000</v>
      </c>
      <c r="Q109" s="109"/>
      <c r="R109" s="106">
        <f t="shared" si="120"/>
        <v>1000</v>
      </c>
      <c r="S109" s="109"/>
      <c r="T109" s="106">
        <f t="shared" si="121"/>
        <v>1000</v>
      </c>
      <c r="U109" s="109"/>
      <c r="V109" s="106">
        <f t="shared" si="122"/>
        <v>1000</v>
      </c>
      <c r="W109" s="109"/>
      <c r="X109" s="106">
        <f t="shared" si="123"/>
        <v>1000</v>
      </c>
      <c r="Y109" s="109"/>
      <c r="Z109" s="106">
        <f t="shared" si="124"/>
        <v>1000</v>
      </c>
      <c r="AA109" s="109"/>
      <c r="AB109" s="106">
        <f t="shared" si="125"/>
        <v>1000</v>
      </c>
      <c r="AC109" s="109"/>
      <c r="AD109" s="106">
        <f t="shared" si="126"/>
        <v>1000</v>
      </c>
      <c r="AE109" s="109"/>
      <c r="AF109" s="106">
        <f t="shared" si="127"/>
        <v>1000</v>
      </c>
      <c r="AG109" s="147"/>
      <c r="AH109" s="106">
        <f t="shared" si="128"/>
        <v>1000</v>
      </c>
      <c r="AI109" s="109"/>
      <c r="AJ109" s="106">
        <f t="shared" si="129"/>
        <v>1000</v>
      </c>
      <c r="AK109" s="109">
        <v>-1000</v>
      </c>
      <c r="AL109" s="106">
        <f t="shared" si="130"/>
        <v>0</v>
      </c>
      <c r="AM109" s="109"/>
      <c r="AN109" s="106">
        <f t="shared" si="131"/>
        <v>0</v>
      </c>
      <c r="AO109" s="106">
        <f>AN109+AM109</f>
        <v>0</v>
      </c>
      <c r="AP109" s="113">
        <f>AO109+AN109</f>
        <v>0</v>
      </c>
      <c r="AQ109" s="243">
        <f>AP109+AO109</f>
        <v>0</v>
      </c>
      <c r="AR109" s="275"/>
      <c r="AS109" s="244">
        <f t="shared" si="106"/>
        <v>0</v>
      </c>
      <c r="AT109" s="158"/>
      <c r="AU109" s="103"/>
      <c r="AV109" s="103"/>
      <c r="AX109" s="125"/>
    </row>
    <row r="110" spans="1:50" ht="12.75" hidden="1">
      <c r="A110" s="21"/>
      <c r="B110" s="27">
        <v>4300</v>
      </c>
      <c r="C110" s="18" t="s">
        <v>15</v>
      </c>
      <c r="D110" s="104">
        <v>10000</v>
      </c>
      <c r="E110" s="106"/>
      <c r="F110" s="106">
        <f t="shared" si="107"/>
        <v>10000</v>
      </c>
      <c r="G110" s="109"/>
      <c r="H110" s="106">
        <f t="shared" si="117"/>
        <v>10000</v>
      </c>
      <c r="I110" s="109"/>
      <c r="J110" s="106">
        <f t="shared" si="118"/>
        <v>10000</v>
      </c>
      <c r="K110" s="110"/>
      <c r="L110" s="106">
        <f t="shared" si="119"/>
        <v>10000</v>
      </c>
      <c r="M110" s="109"/>
      <c r="N110" s="106">
        <f t="shared" si="120"/>
        <v>10000</v>
      </c>
      <c r="O110" s="106"/>
      <c r="P110" s="106">
        <f t="shared" si="120"/>
        <v>10000</v>
      </c>
      <c r="Q110" s="109"/>
      <c r="R110" s="106">
        <f t="shared" si="120"/>
        <v>10000</v>
      </c>
      <c r="S110" s="109"/>
      <c r="T110" s="106">
        <f t="shared" si="121"/>
        <v>10000</v>
      </c>
      <c r="U110" s="109"/>
      <c r="V110" s="106">
        <f t="shared" si="122"/>
        <v>10000</v>
      </c>
      <c r="W110" s="109"/>
      <c r="X110" s="106">
        <f t="shared" si="123"/>
        <v>10000</v>
      </c>
      <c r="Y110" s="109"/>
      <c r="Z110" s="106">
        <f t="shared" si="124"/>
        <v>10000</v>
      </c>
      <c r="AA110" s="109"/>
      <c r="AB110" s="106">
        <f t="shared" si="125"/>
        <v>10000</v>
      </c>
      <c r="AC110" s="109"/>
      <c r="AD110" s="106">
        <f t="shared" si="126"/>
        <v>10000</v>
      </c>
      <c r="AE110" s="109"/>
      <c r="AF110" s="106">
        <f t="shared" si="127"/>
        <v>10000</v>
      </c>
      <c r="AG110" s="147"/>
      <c r="AH110" s="106">
        <f t="shared" si="128"/>
        <v>10000</v>
      </c>
      <c r="AI110" s="109"/>
      <c r="AJ110" s="106">
        <f t="shared" si="129"/>
        <v>10000</v>
      </c>
      <c r="AK110" s="109"/>
      <c r="AL110" s="106">
        <f t="shared" si="130"/>
        <v>10000</v>
      </c>
      <c r="AM110" s="109"/>
      <c r="AN110" s="106">
        <f t="shared" si="131"/>
        <v>10000</v>
      </c>
      <c r="AO110" s="106">
        <v>9465</v>
      </c>
      <c r="AP110" s="113">
        <v>6695</v>
      </c>
      <c r="AQ110" s="243">
        <v>10000</v>
      </c>
      <c r="AR110" s="275"/>
      <c r="AS110" s="244">
        <f t="shared" si="106"/>
        <v>10000</v>
      </c>
      <c r="AT110" s="158"/>
      <c r="AU110" s="103"/>
      <c r="AV110" s="103"/>
      <c r="AX110" s="125"/>
    </row>
    <row r="111" spans="1:50" ht="12.75" hidden="1">
      <c r="A111" s="21"/>
      <c r="B111" s="27">
        <v>4350</v>
      </c>
      <c r="C111" s="18" t="s">
        <v>55</v>
      </c>
      <c r="D111" s="104">
        <v>3000</v>
      </c>
      <c r="E111" s="106"/>
      <c r="F111" s="106">
        <f t="shared" si="107"/>
        <v>3000</v>
      </c>
      <c r="G111" s="109"/>
      <c r="H111" s="106">
        <f t="shared" si="117"/>
        <v>3000</v>
      </c>
      <c r="I111" s="109"/>
      <c r="J111" s="106">
        <f t="shared" si="118"/>
        <v>3000</v>
      </c>
      <c r="K111" s="110"/>
      <c r="L111" s="106">
        <f t="shared" si="119"/>
        <v>3000</v>
      </c>
      <c r="M111" s="109"/>
      <c r="N111" s="106">
        <f t="shared" si="120"/>
        <v>3000</v>
      </c>
      <c r="O111" s="106"/>
      <c r="P111" s="106">
        <f t="shared" si="120"/>
        <v>3000</v>
      </c>
      <c r="Q111" s="109"/>
      <c r="R111" s="106">
        <f t="shared" si="120"/>
        <v>3000</v>
      </c>
      <c r="S111" s="109"/>
      <c r="T111" s="106">
        <f t="shared" si="121"/>
        <v>3000</v>
      </c>
      <c r="U111" s="109"/>
      <c r="V111" s="106">
        <f t="shared" si="122"/>
        <v>3000</v>
      </c>
      <c r="W111" s="109"/>
      <c r="X111" s="106">
        <f t="shared" si="123"/>
        <v>3000</v>
      </c>
      <c r="Y111" s="109"/>
      <c r="Z111" s="106">
        <f t="shared" si="124"/>
        <v>3000</v>
      </c>
      <c r="AA111" s="109"/>
      <c r="AB111" s="106">
        <f t="shared" si="125"/>
        <v>3000</v>
      </c>
      <c r="AC111" s="109"/>
      <c r="AD111" s="106">
        <f t="shared" si="126"/>
        <v>3000</v>
      </c>
      <c r="AE111" s="109"/>
      <c r="AF111" s="106">
        <f t="shared" si="127"/>
        <v>3000</v>
      </c>
      <c r="AG111" s="147"/>
      <c r="AH111" s="106">
        <f t="shared" si="128"/>
        <v>3000</v>
      </c>
      <c r="AI111" s="109"/>
      <c r="AJ111" s="106">
        <f t="shared" si="129"/>
        <v>3000</v>
      </c>
      <c r="AK111" s="109"/>
      <c r="AL111" s="106">
        <f t="shared" si="130"/>
        <v>3000</v>
      </c>
      <c r="AM111" s="109"/>
      <c r="AN111" s="106">
        <f t="shared" si="131"/>
        <v>3000</v>
      </c>
      <c r="AO111" s="106">
        <v>2000</v>
      </c>
      <c r="AP111" s="113">
        <v>1700</v>
      </c>
      <c r="AQ111" s="243">
        <v>3000</v>
      </c>
      <c r="AR111" s="275"/>
      <c r="AS111" s="244">
        <f t="shared" si="106"/>
        <v>3000</v>
      </c>
      <c r="AT111" s="158"/>
      <c r="AU111" s="103"/>
      <c r="AV111" s="103"/>
      <c r="AX111" s="125"/>
    </row>
    <row r="112" spans="1:50" ht="25.5" hidden="1">
      <c r="A112" s="21"/>
      <c r="B112" s="27">
        <v>4360</v>
      </c>
      <c r="C112" s="18" t="s">
        <v>46</v>
      </c>
      <c r="D112" s="104"/>
      <c r="E112" s="106">
        <v>1000</v>
      </c>
      <c r="F112" s="106">
        <f t="shared" si="107"/>
        <v>1000</v>
      </c>
      <c r="G112" s="109"/>
      <c r="H112" s="106">
        <f t="shared" si="117"/>
        <v>1000</v>
      </c>
      <c r="I112" s="109"/>
      <c r="J112" s="106">
        <f t="shared" si="118"/>
        <v>1000</v>
      </c>
      <c r="K112" s="110"/>
      <c r="L112" s="106">
        <f t="shared" si="119"/>
        <v>1000</v>
      </c>
      <c r="M112" s="109"/>
      <c r="N112" s="106">
        <f t="shared" si="120"/>
        <v>1000</v>
      </c>
      <c r="O112" s="106"/>
      <c r="P112" s="106">
        <f t="shared" si="120"/>
        <v>1000</v>
      </c>
      <c r="Q112" s="109"/>
      <c r="R112" s="106">
        <f t="shared" si="120"/>
        <v>1000</v>
      </c>
      <c r="S112" s="109"/>
      <c r="T112" s="106">
        <f t="shared" si="121"/>
        <v>1000</v>
      </c>
      <c r="U112" s="109"/>
      <c r="V112" s="106">
        <f t="shared" si="122"/>
        <v>1000</v>
      </c>
      <c r="W112" s="109"/>
      <c r="X112" s="106">
        <f t="shared" si="123"/>
        <v>1000</v>
      </c>
      <c r="Y112" s="109"/>
      <c r="Z112" s="106">
        <f t="shared" si="124"/>
        <v>1000</v>
      </c>
      <c r="AA112" s="109"/>
      <c r="AB112" s="106">
        <f t="shared" si="125"/>
        <v>1000</v>
      </c>
      <c r="AC112" s="109"/>
      <c r="AD112" s="106">
        <f t="shared" si="126"/>
        <v>1000</v>
      </c>
      <c r="AE112" s="109"/>
      <c r="AF112" s="106">
        <f t="shared" si="127"/>
        <v>1000</v>
      </c>
      <c r="AG112" s="147"/>
      <c r="AH112" s="106">
        <f t="shared" si="128"/>
        <v>1000</v>
      </c>
      <c r="AI112" s="109"/>
      <c r="AJ112" s="106">
        <f t="shared" si="129"/>
        <v>1000</v>
      </c>
      <c r="AK112" s="109"/>
      <c r="AL112" s="106">
        <f t="shared" si="130"/>
        <v>1000</v>
      </c>
      <c r="AM112" s="109"/>
      <c r="AN112" s="106">
        <f t="shared" si="131"/>
        <v>1000</v>
      </c>
      <c r="AO112" s="106">
        <v>106</v>
      </c>
      <c r="AP112" s="113">
        <v>515</v>
      </c>
      <c r="AQ112" s="243">
        <v>1000</v>
      </c>
      <c r="AR112" s="275"/>
      <c r="AS112" s="244">
        <f t="shared" si="106"/>
        <v>1000</v>
      </c>
      <c r="AT112" s="158"/>
      <c r="AU112" s="103"/>
      <c r="AV112" s="103"/>
      <c r="AX112" s="125"/>
    </row>
    <row r="113" spans="1:50" ht="25.5" hidden="1">
      <c r="A113" s="21"/>
      <c r="B113" s="27">
        <v>4370</v>
      </c>
      <c r="C113" s="18" t="s">
        <v>47</v>
      </c>
      <c r="D113" s="104">
        <v>1500</v>
      </c>
      <c r="E113" s="106">
        <v>-1000</v>
      </c>
      <c r="F113" s="106">
        <f t="shared" si="107"/>
        <v>500</v>
      </c>
      <c r="G113" s="109"/>
      <c r="H113" s="106">
        <f t="shared" si="117"/>
        <v>500</v>
      </c>
      <c r="I113" s="109"/>
      <c r="J113" s="106">
        <f t="shared" si="118"/>
        <v>500</v>
      </c>
      <c r="K113" s="110"/>
      <c r="L113" s="106">
        <f t="shared" si="119"/>
        <v>500</v>
      </c>
      <c r="M113" s="109"/>
      <c r="N113" s="106">
        <f t="shared" si="120"/>
        <v>500</v>
      </c>
      <c r="O113" s="106"/>
      <c r="P113" s="106">
        <f t="shared" si="120"/>
        <v>500</v>
      </c>
      <c r="Q113" s="109"/>
      <c r="R113" s="106">
        <f t="shared" si="120"/>
        <v>500</v>
      </c>
      <c r="S113" s="109"/>
      <c r="T113" s="106">
        <f t="shared" si="121"/>
        <v>500</v>
      </c>
      <c r="U113" s="109"/>
      <c r="V113" s="106">
        <f t="shared" si="122"/>
        <v>500</v>
      </c>
      <c r="W113" s="109"/>
      <c r="X113" s="106">
        <f t="shared" si="123"/>
        <v>500</v>
      </c>
      <c r="Y113" s="109"/>
      <c r="Z113" s="106">
        <f t="shared" si="124"/>
        <v>500</v>
      </c>
      <c r="AA113" s="109"/>
      <c r="AB113" s="106">
        <f t="shared" si="125"/>
        <v>500</v>
      </c>
      <c r="AC113" s="109"/>
      <c r="AD113" s="106">
        <f t="shared" si="126"/>
        <v>500</v>
      </c>
      <c r="AE113" s="109"/>
      <c r="AF113" s="106">
        <f t="shared" si="127"/>
        <v>500</v>
      </c>
      <c r="AG113" s="147"/>
      <c r="AH113" s="106">
        <f t="shared" si="128"/>
        <v>500</v>
      </c>
      <c r="AI113" s="109"/>
      <c r="AJ113" s="106">
        <f t="shared" si="129"/>
        <v>500</v>
      </c>
      <c r="AK113" s="109"/>
      <c r="AL113" s="106">
        <f t="shared" si="130"/>
        <v>500</v>
      </c>
      <c r="AM113" s="109"/>
      <c r="AN113" s="106">
        <f t="shared" si="131"/>
        <v>500</v>
      </c>
      <c r="AO113" s="106">
        <v>773</v>
      </c>
      <c r="AP113" s="113">
        <v>224</v>
      </c>
      <c r="AQ113" s="243">
        <v>500</v>
      </c>
      <c r="AR113" s="275"/>
      <c r="AS113" s="244">
        <f t="shared" si="106"/>
        <v>500</v>
      </c>
      <c r="AT113" s="158"/>
      <c r="AU113" s="103">
        <f>AP113/3*4</f>
        <v>298.6666666666667</v>
      </c>
      <c r="AV113" s="103"/>
      <c r="AX113" s="125"/>
    </row>
    <row r="114" spans="1:50" ht="25.5" hidden="1">
      <c r="A114" s="21"/>
      <c r="B114" s="27">
        <v>4400</v>
      </c>
      <c r="C114" s="18" t="s">
        <v>56</v>
      </c>
      <c r="D114" s="104">
        <v>11000</v>
      </c>
      <c r="E114" s="106"/>
      <c r="F114" s="106">
        <f t="shared" si="107"/>
        <v>11000</v>
      </c>
      <c r="G114" s="109"/>
      <c r="H114" s="106">
        <f t="shared" si="117"/>
        <v>11000</v>
      </c>
      <c r="I114" s="109"/>
      <c r="J114" s="106">
        <f t="shared" si="118"/>
        <v>11000</v>
      </c>
      <c r="K114" s="110"/>
      <c r="L114" s="106">
        <f t="shared" si="119"/>
        <v>11000</v>
      </c>
      <c r="M114" s="109"/>
      <c r="N114" s="106">
        <f t="shared" si="120"/>
        <v>11000</v>
      </c>
      <c r="O114" s="106">
        <v>-10300</v>
      </c>
      <c r="P114" s="106">
        <f t="shared" si="120"/>
        <v>700</v>
      </c>
      <c r="Q114" s="109"/>
      <c r="R114" s="106">
        <f t="shared" si="120"/>
        <v>700</v>
      </c>
      <c r="S114" s="109"/>
      <c r="T114" s="106">
        <f t="shared" si="121"/>
        <v>700</v>
      </c>
      <c r="U114" s="109"/>
      <c r="V114" s="106">
        <f t="shared" si="122"/>
        <v>700</v>
      </c>
      <c r="W114" s="109"/>
      <c r="X114" s="106">
        <f t="shared" si="123"/>
        <v>700</v>
      </c>
      <c r="Y114" s="109"/>
      <c r="Z114" s="106">
        <f t="shared" si="124"/>
        <v>700</v>
      </c>
      <c r="AA114" s="109"/>
      <c r="AB114" s="106">
        <f t="shared" si="125"/>
        <v>700</v>
      </c>
      <c r="AC114" s="109"/>
      <c r="AD114" s="106">
        <f t="shared" si="126"/>
        <v>700</v>
      </c>
      <c r="AE114" s="109"/>
      <c r="AF114" s="106">
        <f t="shared" si="127"/>
        <v>700</v>
      </c>
      <c r="AG114" s="147"/>
      <c r="AH114" s="106">
        <f t="shared" si="128"/>
        <v>700</v>
      </c>
      <c r="AI114" s="109"/>
      <c r="AJ114" s="106">
        <f t="shared" si="129"/>
        <v>700</v>
      </c>
      <c r="AK114" s="109">
        <v>-700</v>
      </c>
      <c r="AL114" s="106">
        <f t="shared" si="130"/>
        <v>0</v>
      </c>
      <c r="AM114" s="109"/>
      <c r="AN114" s="106">
        <f t="shared" si="131"/>
        <v>0</v>
      </c>
      <c r="AO114" s="106">
        <v>2000</v>
      </c>
      <c r="AP114" s="113">
        <v>0</v>
      </c>
      <c r="AQ114" s="243">
        <v>0</v>
      </c>
      <c r="AR114" s="275"/>
      <c r="AS114" s="244">
        <f t="shared" si="106"/>
        <v>0</v>
      </c>
      <c r="AT114" s="158"/>
      <c r="AU114" s="103">
        <f>AP114/3*4</f>
        <v>0</v>
      </c>
      <c r="AV114" s="103"/>
      <c r="AX114" s="125"/>
    </row>
    <row r="115" spans="1:50" ht="12.75" hidden="1">
      <c r="A115" s="21"/>
      <c r="B115" s="27">
        <v>4430</v>
      </c>
      <c r="C115" s="18" t="s">
        <v>16</v>
      </c>
      <c r="D115" s="104">
        <v>17000</v>
      </c>
      <c r="E115" s="106"/>
      <c r="F115" s="106">
        <f t="shared" si="107"/>
        <v>17000</v>
      </c>
      <c r="G115" s="109"/>
      <c r="H115" s="106">
        <f t="shared" si="117"/>
        <v>17000</v>
      </c>
      <c r="I115" s="109"/>
      <c r="J115" s="106">
        <f t="shared" si="118"/>
        <v>17000</v>
      </c>
      <c r="K115" s="110"/>
      <c r="L115" s="106">
        <f t="shared" si="119"/>
        <v>17000</v>
      </c>
      <c r="M115" s="109"/>
      <c r="N115" s="106">
        <f t="shared" si="120"/>
        <v>17000</v>
      </c>
      <c r="O115" s="106">
        <v>10300</v>
      </c>
      <c r="P115" s="106">
        <f t="shared" si="120"/>
        <v>27300</v>
      </c>
      <c r="Q115" s="109"/>
      <c r="R115" s="106">
        <f t="shared" si="120"/>
        <v>27300</v>
      </c>
      <c r="S115" s="109"/>
      <c r="T115" s="106">
        <f t="shared" si="121"/>
        <v>27300</v>
      </c>
      <c r="U115" s="109"/>
      <c r="V115" s="106">
        <f t="shared" si="122"/>
        <v>27300</v>
      </c>
      <c r="W115" s="109"/>
      <c r="X115" s="106">
        <f t="shared" si="123"/>
        <v>27300</v>
      </c>
      <c r="Y115" s="109"/>
      <c r="Z115" s="106">
        <f t="shared" si="124"/>
        <v>27300</v>
      </c>
      <c r="AA115" s="109"/>
      <c r="AB115" s="106">
        <f t="shared" si="125"/>
        <v>27300</v>
      </c>
      <c r="AC115" s="109"/>
      <c r="AD115" s="106">
        <f t="shared" si="126"/>
        <v>27300</v>
      </c>
      <c r="AE115" s="109"/>
      <c r="AF115" s="106">
        <f t="shared" si="127"/>
        <v>27300</v>
      </c>
      <c r="AG115" s="147"/>
      <c r="AH115" s="106">
        <f t="shared" si="128"/>
        <v>27300</v>
      </c>
      <c r="AI115" s="109"/>
      <c r="AJ115" s="106">
        <f t="shared" si="129"/>
        <v>27300</v>
      </c>
      <c r="AK115" s="109"/>
      <c r="AL115" s="106">
        <f t="shared" si="130"/>
        <v>27300</v>
      </c>
      <c r="AM115" s="109"/>
      <c r="AN115" s="106">
        <f t="shared" si="131"/>
        <v>27300</v>
      </c>
      <c r="AO115" s="106">
        <v>11537</v>
      </c>
      <c r="AP115" s="113">
        <v>16747</v>
      </c>
      <c r="AQ115" s="243">
        <v>27000</v>
      </c>
      <c r="AR115" s="275"/>
      <c r="AS115" s="244">
        <f t="shared" si="106"/>
        <v>27000</v>
      </c>
      <c r="AT115" s="158"/>
      <c r="AU115" s="103">
        <f>AP115/3*4</f>
        <v>22329.333333333332</v>
      </c>
      <c r="AV115" s="103"/>
      <c r="AX115" s="125" t="s">
        <v>197</v>
      </c>
    </row>
    <row r="116" spans="1:50" ht="12.75" hidden="1">
      <c r="A116" s="21"/>
      <c r="B116" s="27">
        <v>4750</v>
      </c>
      <c r="C116" s="18" t="s">
        <v>53</v>
      </c>
      <c r="D116" s="104">
        <v>5000</v>
      </c>
      <c r="E116" s="106"/>
      <c r="F116" s="106">
        <f t="shared" si="107"/>
        <v>5000</v>
      </c>
      <c r="G116" s="109"/>
      <c r="H116" s="106">
        <f t="shared" si="117"/>
        <v>5000</v>
      </c>
      <c r="I116" s="109"/>
      <c r="J116" s="106">
        <f t="shared" si="118"/>
        <v>5000</v>
      </c>
      <c r="K116" s="110"/>
      <c r="L116" s="106">
        <f t="shared" si="119"/>
        <v>5000</v>
      </c>
      <c r="M116" s="109"/>
      <c r="N116" s="106">
        <f t="shared" si="120"/>
        <v>5000</v>
      </c>
      <c r="O116" s="106"/>
      <c r="P116" s="106">
        <f t="shared" si="120"/>
        <v>5000</v>
      </c>
      <c r="Q116" s="109"/>
      <c r="R116" s="106">
        <f t="shared" si="120"/>
        <v>5000</v>
      </c>
      <c r="S116" s="109"/>
      <c r="T116" s="106">
        <f t="shared" si="121"/>
        <v>5000</v>
      </c>
      <c r="U116" s="109"/>
      <c r="V116" s="106">
        <f t="shared" si="122"/>
        <v>5000</v>
      </c>
      <c r="W116" s="109"/>
      <c r="X116" s="106">
        <f t="shared" si="123"/>
        <v>5000</v>
      </c>
      <c r="Y116" s="109"/>
      <c r="Z116" s="106">
        <f t="shared" si="124"/>
        <v>5000</v>
      </c>
      <c r="AA116" s="109"/>
      <c r="AB116" s="106">
        <f t="shared" si="125"/>
        <v>5000</v>
      </c>
      <c r="AC116" s="109"/>
      <c r="AD116" s="106">
        <f t="shared" si="126"/>
        <v>5000</v>
      </c>
      <c r="AE116" s="109"/>
      <c r="AF116" s="106">
        <f t="shared" si="127"/>
        <v>5000</v>
      </c>
      <c r="AG116" s="147"/>
      <c r="AH116" s="106">
        <f t="shared" si="128"/>
        <v>5000</v>
      </c>
      <c r="AI116" s="109"/>
      <c r="AJ116" s="106">
        <f t="shared" si="129"/>
        <v>5000</v>
      </c>
      <c r="AK116" s="109">
        <v>-4000</v>
      </c>
      <c r="AL116" s="106">
        <f t="shared" si="130"/>
        <v>1000</v>
      </c>
      <c r="AM116" s="109"/>
      <c r="AN116" s="106">
        <f t="shared" si="131"/>
        <v>1000</v>
      </c>
      <c r="AO116" s="106">
        <v>0</v>
      </c>
      <c r="AP116" s="113">
        <v>12</v>
      </c>
      <c r="AQ116" s="243">
        <v>100</v>
      </c>
      <c r="AR116" s="275"/>
      <c r="AS116" s="244">
        <f t="shared" si="106"/>
        <v>100</v>
      </c>
      <c r="AT116" s="158"/>
      <c r="AU116" s="103"/>
      <c r="AV116" s="103"/>
      <c r="AX116" s="125"/>
    </row>
    <row r="117" spans="1:50" ht="15.75" customHeight="1" hidden="1">
      <c r="A117" s="218">
        <v>754</v>
      </c>
      <c r="B117" s="187"/>
      <c r="C117" s="188" t="s">
        <v>57</v>
      </c>
      <c r="D117" s="189">
        <f>D118+D120+D122+D137+D139</f>
        <v>366350</v>
      </c>
      <c r="E117" s="189">
        <f aca="true" t="shared" si="132" ref="E117:AQ117">E118+E120+E122+E137+E139</f>
        <v>0</v>
      </c>
      <c r="F117" s="189">
        <f t="shared" si="132"/>
        <v>366350</v>
      </c>
      <c r="G117" s="189">
        <f t="shared" si="132"/>
        <v>0</v>
      </c>
      <c r="H117" s="189">
        <f t="shared" si="132"/>
        <v>366350</v>
      </c>
      <c r="I117" s="189">
        <f t="shared" si="132"/>
        <v>0</v>
      </c>
      <c r="J117" s="189">
        <f t="shared" si="132"/>
        <v>366350</v>
      </c>
      <c r="K117" s="189">
        <f t="shared" si="132"/>
        <v>0</v>
      </c>
      <c r="L117" s="189">
        <f t="shared" si="132"/>
        <v>366350</v>
      </c>
      <c r="M117" s="189">
        <f t="shared" si="132"/>
        <v>0</v>
      </c>
      <c r="N117" s="189">
        <f t="shared" si="132"/>
        <v>366350</v>
      </c>
      <c r="O117" s="189">
        <f t="shared" si="132"/>
        <v>0</v>
      </c>
      <c r="P117" s="189">
        <f t="shared" si="132"/>
        <v>366350</v>
      </c>
      <c r="Q117" s="189">
        <f t="shared" si="132"/>
        <v>0</v>
      </c>
      <c r="R117" s="189">
        <f t="shared" si="132"/>
        <v>366350</v>
      </c>
      <c r="S117" s="189">
        <f t="shared" si="132"/>
        <v>0</v>
      </c>
      <c r="T117" s="189">
        <f t="shared" si="132"/>
        <v>366350</v>
      </c>
      <c r="U117" s="189">
        <f t="shared" si="132"/>
        <v>10000</v>
      </c>
      <c r="V117" s="189">
        <f t="shared" si="132"/>
        <v>376350</v>
      </c>
      <c r="W117" s="189">
        <f t="shared" si="132"/>
        <v>0</v>
      </c>
      <c r="X117" s="189">
        <f t="shared" si="132"/>
        <v>376350</v>
      </c>
      <c r="Y117" s="189">
        <f t="shared" si="132"/>
        <v>0</v>
      </c>
      <c r="Z117" s="189">
        <f t="shared" si="132"/>
        <v>376350</v>
      </c>
      <c r="AA117" s="189">
        <f t="shared" si="132"/>
        <v>-9000</v>
      </c>
      <c r="AB117" s="189">
        <f t="shared" si="132"/>
        <v>367350</v>
      </c>
      <c r="AC117" s="189">
        <f t="shared" si="132"/>
        <v>0</v>
      </c>
      <c r="AD117" s="189">
        <f t="shared" si="132"/>
        <v>367350</v>
      </c>
      <c r="AE117" s="189">
        <f t="shared" si="132"/>
        <v>0</v>
      </c>
      <c r="AF117" s="189">
        <f t="shared" si="132"/>
        <v>367350</v>
      </c>
      <c r="AG117" s="189">
        <f t="shared" si="132"/>
        <v>19000</v>
      </c>
      <c r="AH117" s="189">
        <f t="shared" si="132"/>
        <v>386350</v>
      </c>
      <c r="AI117" s="189">
        <f t="shared" si="132"/>
        <v>0</v>
      </c>
      <c r="AJ117" s="189">
        <f t="shared" si="132"/>
        <v>386350</v>
      </c>
      <c r="AK117" s="189">
        <f t="shared" si="132"/>
        <v>25460</v>
      </c>
      <c r="AL117" s="189">
        <f t="shared" si="132"/>
        <v>411810</v>
      </c>
      <c r="AM117" s="189">
        <f t="shared" si="132"/>
        <v>0</v>
      </c>
      <c r="AN117" s="189">
        <f t="shared" si="132"/>
        <v>411810</v>
      </c>
      <c r="AO117" s="189">
        <f t="shared" si="132"/>
        <v>348226</v>
      </c>
      <c r="AP117" s="221">
        <f t="shared" si="132"/>
        <v>264534</v>
      </c>
      <c r="AQ117" s="249">
        <f t="shared" si="132"/>
        <v>279000</v>
      </c>
      <c r="AR117" s="276"/>
      <c r="AS117" s="244">
        <f t="shared" si="106"/>
        <v>279000</v>
      </c>
      <c r="AT117" s="158"/>
      <c r="AU117" s="103"/>
      <c r="AV117" s="103"/>
      <c r="AX117" s="125"/>
    </row>
    <row r="118" spans="1:50" ht="13.5" customHeight="1" hidden="1">
      <c r="A118" s="31">
        <v>75404</v>
      </c>
      <c r="B118" s="26"/>
      <c r="C118" s="19" t="s">
        <v>126</v>
      </c>
      <c r="D118" s="190">
        <f aca="true" t="shared" si="133" ref="D118:J118">D119</f>
        <v>35000</v>
      </c>
      <c r="E118" s="190">
        <f t="shared" si="133"/>
        <v>0</v>
      </c>
      <c r="F118" s="190">
        <f t="shared" si="133"/>
        <v>35000</v>
      </c>
      <c r="G118" s="190">
        <f t="shared" si="133"/>
        <v>0</v>
      </c>
      <c r="H118" s="190">
        <f t="shared" si="133"/>
        <v>35000</v>
      </c>
      <c r="I118" s="190">
        <f t="shared" si="133"/>
        <v>0</v>
      </c>
      <c r="J118" s="190">
        <f t="shared" si="133"/>
        <v>35000</v>
      </c>
      <c r="K118" s="110"/>
      <c r="L118" s="190">
        <f>L119</f>
        <v>35000</v>
      </c>
      <c r="M118" s="109"/>
      <c r="N118" s="190">
        <f>N119</f>
        <v>35000</v>
      </c>
      <c r="O118" s="190"/>
      <c r="P118" s="190">
        <f>P119</f>
        <v>35000</v>
      </c>
      <c r="Q118" s="109"/>
      <c r="R118" s="190">
        <f>R119</f>
        <v>35000</v>
      </c>
      <c r="S118" s="109"/>
      <c r="T118" s="190">
        <f>T119</f>
        <v>35000</v>
      </c>
      <c r="U118" s="109"/>
      <c r="V118" s="190">
        <f>V119</f>
        <v>35000</v>
      </c>
      <c r="W118" s="109"/>
      <c r="X118" s="190">
        <f>X119</f>
        <v>35000</v>
      </c>
      <c r="Y118" s="109"/>
      <c r="Z118" s="190">
        <f>Z119</f>
        <v>35000</v>
      </c>
      <c r="AA118" s="109"/>
      <c r="AB118" s="190">
        <f>AB119</f>
        <v>35000</v>
      </c>
      <c r="AC118" s="109"/>
      <c r="AD118" s="190">
        <f>AD119</f>
        <v>35000</v>
      </c>
      <c r="AE118" s="109"/>
      <c r="AF118" s="190">
        <f>AF119</f>
        <v>35000</v>
      </c>
      <c r="AG118" s="147"/>
      <c r="AH118" s="190">
        <f>AH119</f>
        <v>35000</v>
      </c>
      <c r="AI118" s="109"/>
      <c r="AJ118" s="190">
        <f aca="true" t="shared" si="134" ref="AJ118:AQ118">AJ119</f>
        <v>35000</v>
      </c>
      <c r="AK118" s="190">
        <f t="shared" si="134"/>
        <v>0</v>
      </c>
      <c r="AL118" s="190">
        <f t="shared" si="134"/>
        <v>35000</v>
      </c>
      <c r="AM118" s="190">
        <f t="shared" si="134"/>
        <v>0</v>
      </c>
      <c r="AN118" s="190">
        <f t="shared" si="134"/>
        <v>35000</v>
      </c>
      <c r="AO118" s="190">
        <f t="shared" si="134"/>
        <v>3880</v>
      </c>
      <c r="AP118" s="81">
        <f t="shared" si="134"/>
        <v>35000</v>
      </c>
      <c r="AQ118" s="247">
        <f t="shared" si="134"/>
        <v>0</v>
      </c>
      <c r="AR118" s="274"/>
      <c r="AS118" s="244">
        <f t="shared" si="106"/>
        <v>0</v>
      </c>
      <c r="AT118" s="158"/>
      <c r="AU118" s="103"/>
      <c r="AV118" s="103"/>
      <c r="AX118" s="125"/>
    </row>
    <row r="119" spans="1:53" ht="23.25" customHeight="1" hidden="1">
      <c r="A119" s="52"/>
      <c r="B119" s="27">
        <v>6170</v>
      </c>
      <c r="C119" s="44" t="s">
        <v>127</v>
      </c>
      <c r="D119" s="104">
        <v>35000</v>
      </c>
      <c r="E119" s="106"/>
      <c r="F119" s="106">
        <f t="shared" si="107"/>
        <v>35000</v>
      </c>
      <c r="G119" s="109"/>
      <c r="H119" s="106">
        <f>G119+F119</f>
        <v>35000</v>
      </c>
      <c r="I119" s="109"/>
      <c r="J119" s="106">
        <f>I119+H119</f>
        <v>35000</v>
      </c>
      <c r="K119" s="110"/>
      <c r="L119" s="106">
        <f>K119+H119</f>
        <v>35000</v>
      </c>
      <c r="M119" s="109"/>
      <c r="N119" s="106">
        <f>M119+L119</f>
        <v>35000</v>
      </c>
      <c r="O119" s="106"/>
      <c r="P119" s="106">
        <f>O119+N119</f>
        <v>35000</v>
      </c>
      <c r="Q119" s="109"/>
      <c r="R119" s="106">
        <f>Q119+P119</f>
        <v>35000</v>
      </c>
      <c r="S119" s="109"/>
      <c r="T119" s="106">
        <f>S119+R119</f>
        <v>35000</v>
      </c>
      <c r="U119" s="109"/>
      <c r="V119" s="106">
        <f>U119+T119</f>
        <v>35000</v>
      </c>
      <c r="W119" s="109"/>
      <c r="X119" s="106">
        <f>W119+V119</f>
        <v>35000</v>
      </c>
      <c r="Y119" s="109"/>
      <c r="Z119" s="106">
        <f>Y119+X119</f>
        <v>35000</v>
      </c>
      <c r="AA119" s="109"/>
      <c r="AB119" s="106">
        <f>AA119+Z119</f>
        <v>35000</v>
      </c>
      <c r="AC119" s="109"/>
      <c r="AD119" s="106">
        <f>AC119+AB119</f>
        <v>35000</v>
      </c>
      <c r="AE119" s="109"/>
      <c r="AF119" s="106">
        <f>AE119+AD119</f>
        <v>35000</v>
      </c>
      <c r="AG119" s="147"/>
      <c r="AH119" s="106">
        <f>AG119+AF119</f>
        <v>35000</v>
      </c>
      <c r="AI119" s="109"/>
      <c r="AJ119" s="106">
        <f>AI119+AH119</f>
        <v>35000</v>
      </c>
      <c r="AK119" s="109"/>
      <c r="AL119" s="106">
        <f>AK119+AJ119</f>
        <v>35000</v>
      </c>
      <c r="AM119" s="109"/>
      <c r="AN119" s="106">
        <f>AM119+AL119</f>
        <v>35000</v>
      </c>
      <c r="AO119" s="106">
        <v>3880</v>
      </c>
      <c r="AP119" s="113">
        <v>35000</v>
      </c>
      <c r="AQ119" s="243">
        <v>0</v>
      </c>
      <c r="AR119" s="275"/>
      <c r="AS119" s="244">
        <f t="shared" si="106"/>
        <v>0</v>
      </c>
      <c r="AT119" s="158"/>
      <c r="AU119" s="103"/>
      <c r="AV119" s="103"/>
      <c r="AW119" s="149"/>
      <c r="AX119" s="150"/>
      <c r="AY119" s="149"/>
      <c r="AZ119" s="149"/>
      <c r="BA119" s="149"/>
    </row>
    <row r="120" spans="1:53" ht="15.75" customHeight="1" hidden="1">
      <c r="A120" s="31">
        <v>75411</v>
      </c>
      <c r="B120" s="26"/>
      <c r="C120" s="199" t="s">
        <v>184</v>
      </c>
      <c r="D120" s="104"/>
      <c r="E120" s="106"/>
      <c r="F120" s="106"/>
      <c r="G120" s="109"/>
      <c r="H120" s="106"/>
      <c r="I120" s="109"/>
      <c r="J120" s="106"/>
      <c r="K120" s="110"/>
      <c r="L120" s="106"/>
      <c r="M120" s="109"/>
      <c r="N120" s="106"/>
      <c r="O120" s="106"/>
      <c r="P120" s="106"/>
      <c r="Q120" s="109"/>
      <c r="R120" s="106"/>
      <c r="S120" s="109"/>
      <c r="T120" s="106"/>
      <c r="U120" s="109"/>
      <c r="V120" s="106"/>
      <c r="W120" s="109"/>
      <c r="X120" s="106"/>
      <c r="Y120" s="109"/>
      <c r="Z120" s="106"/>
      <c r="AA120" s="109"/>
      <c r="AB120" s="106"/>
      <c r="AC120" s="109"/>
      <c r="AD120" s="106"/>
      <c r="AE120" s="109"/>
      <c r="AF120" s="106"/>
      <c r="AG120" s="147"/>
      <c r="AH120" s="106"/>
      <c r="AI120" s="109"/>
      <c r="AJ120" s="106"/>
      <c r="AK120" s="190">
        <f aca="true" t="shared" si="135" ref="AK120:AQ120">AK121</f>
        <v>10000</v>
      </c>
      <c r="AL120" s="190">
        <f t="shared" si="135"/>
        <v>10000</v>
      </c>
      <c r="AM120" s="190">
        <f t="shared" si="135"/>
        <v>0</v>
      </c>
      <c r="AN120" s="190">
        <f t="shared" si="135"/>
        <v>10000</v>
      </c>
      <c r="AO120" s="190">
        <f t="shared" si="135"/>
        <v>0</v>
      </c>
      <c r="AP120" s="81">
        <f t="shared" si="135"/>
        <v>10000</v>
      </c>
      <c r="AQ120" s="247">
        <f t="shared" si="135"/>
        <v>0</v>
      </c>
      <c r="AR120" s="274"/>
      <c r="AS120" s="244">
        <f t="shared" si="106"/>
        <v>0</v>
      </c>
      <c r="AT120" s="158"/>
      <c r="AU120" s="103"/>
      <c r="AV120" s="103"/>
      <c r="AW120" s="149"/>
      <c r="AX120" s="150"/>
      <c r="AY120" s="149"/>
      <c r="AZ120" s="149"/>
      <c r="BA120" s="149"/>
    </row>
    <row r="121" spans="1:53" ht="34.5" customHeight="1" hidden="1">
      <c r="A121" s="52"/>
      <c r="B121" s="27">
        <v>6620</v>
      </c>
      <c r="C121" s="44" t="s">
        <v>185</v>
      </c>
      <c r="D121" s="104"/>
      <c r="E121" s="106"/>
      <c r="F121" s="106"/>
      <c r="G121" s="109"/>
      <c r="H121" s="106"/>
      <c r="I121" s="109"/>
      <c r="J121" s="106"/>
      <c r="K121" s="110"/>
      <c r="L121" s="106"/>
      <c r="M121" s="109"/>
      <c r="N121" s="106"/>
      <c r="O121" s="106"/>
      <c r="P121" s="106"/>
      <c r="Q121" s="109"/>
      <c r="R121" s="106"/>
      <c r="S121" s="109"/>
      <c r="T121" s="106"/>
      <c r="U121" s="109"/>
      <c r="V121" s="106"/>
      <c r="W121" s="109"/>
      <c r="X121" s="106"/>
      <c r="Y121" s="109"/>
      <c r="Z121" s="106"/>
      <c r="AA121" s="109"/>
      <c r="AB121" s="106"/>
      <c r="AC121" s="109"/>
      <c r="AD121" s="106"/>
      <c r="AE121" s="109"/>
      <c r="AF121" s="106"/>
      <c r="AG121" s="147"/>
      <c r="AH121" s="106"/>
      <c r="AI121" s="109"/>
      <c r="AJ121" s="106"/>
      <c r="AK121" s="109">
        <v>10000</v>
      </c>
      <c r="AL121" s="106">
        <f aca="true" t="shared" si="136" ref="AL121:AL136">AK121+AJ121</f>
        <v>10000</v>
      </c>
      <c r="AM121" s="109"/>
      <c r="AN121" s="106">
        <f>AM121+AL121</f>
        <v>10000</v>
      </c>
      <c r="AO121" s="106">
        <v>0</v>
      </c>
      <c r="AP121" s="113">
        <f>AO121+AN121</f>
        <v>10000</v>
      </c>
      <c r="AQ121" s="243">
        <v>0</v>
      </c>
      <c r="AR121" s="275"/>
      <c r="AS121" s="244">
        <f t="shared" si="106"/>
        <v>0</v>
      </c>
      <c r="AT121" s="158"/>
      <c r="AU121" s="103"/>
      <c r="AV121" s="103"/>
      <c r="AW121" s="149"/>
      <c r="AX121" s="150"/>
      <c r="AY121" s="149"/>
      <c r="AZ121" s="149"/>
      <c r="BA121" s="149"/>
    </row>
    <row r="122" spans="1:53" ht="12.75" hidden="1">
      <c r="A122" s="31">
        <v>75412</v>
      </c>
      <c r="B122" s="26"/>
      <c r="C122" s="19" t="s">
        <v>58</v>
      </c>
      <c r="D122" s="190">
        <f aca="true" t="shared" si="137" ref="D122:J122">SUM(D123:D136)</f>
        <v>211350</v>
      </c>
      <c r="E122" s="190">
        <f t="shared" si="137"/>
        <v>0</v>
      </c>
      <c r="F122" s="190">
        <f t="shared" si="137"/>
        <v>211350</v>
      </c>
      <c r="G122" s="190">
        <f t="shared" si="137"/>
        <v>0</v>
      </c>
      <c r="H122" s="190">
        <f t="shared" si="137"/>
        <v>211350</v>
      </c>
      <c r="I122" s="190">
        <f t="shared" si="137"/>
        <v>0</v>
      </c>
      <c r="J122" s="190">
        <f t="shared" si="137"/>
        <v>211350</v>
      </c>
      <c r="K122" s="110"/>
      <c r="L122" s="190">
        <f>SUM(L123:L136)</f>
        <v>211350</v>
      </c>
      <c r="M122" s="109"/>
      <c r="N122" s="190">
        <f>SUM(N123:N136)</f>
        <v>211350</v>
      </c>
      <c r="O122" s="190"/>
      <c r="P122" s="190">
        <f>SUM(P123:P136)</f>
        <v>211350</v>
      </c>
      <c r="Q122" s="109"/>
      <c r="R122" s="190">
        <f>SUM(R123:R136)</f>
        <v>211350</v>
      </c>
      <c r="S122" s="109"/>
      <c r="T122" s="190">
        <f aca="true" t="shared" si="138" ref="T122:Z122">SUM(T123:T136)</f>
        <v>211350</v>
      </c>
      <c r="U122" s="190">
        <f t="shared" si="138"/>
        <v>10000</v>
      </c>
      <c r="V122" s="190">
        <f t="shared" si="138"/>
        <v>221350</v>
      </c>
      <c r="W122" s="190">
        <f t="shared" si="138"/>
        <v>0</v>
      </c>
      <c r="X122" s="190">
        <f t="shared" si="138"/>
        <v>221350</v>
      </c>
      <c r="Y122" s="190">
        <f t="shared" si="138"/>
        <v>0</v>
      </c>
      <c r="Z122" s="190">
        <f t="shared" si="138"/>
        <v>221350</v>
      </c>
      <c r="AA122" s="190">
        <f aca="true" t="shared" si="139" ref="AA122:AF122">SUM(AA123:AA136)</f>
        <v>5000</v>
      </c>
      <c r="AB122" s="190">
        <f t="shared" si="139"/>
        <v>226350</v>
      </c>
      <c r="AC122" s="190">
        <f t="shared" si="139"/>
        <v>0</v>
      </c>
      <c r="AD122" s="190">
        <f t="shared" si="139"/>
        <v>226350</v>
      </c>
      <c r="AE122" s="190">
        <f t="shared" si="139"/>
        <v>0</v>
      </c>
      <c r="AF122" s="190">
        <f t="shared" si="139"/>
        <v>226350</v>
      </c>
      <c r="AG122" s="191">
        <f aca="true" t="shared" si="140" ref="AG122:AL122">SUM(AG123:AG136)</f>
        <v>19000</v>
      </c>
      <c r="AH122" s="190">
        <f t="shared" si="140"/>
        <v>245350</v>
      </c>
      <c r="AI122" s="190">
        <f t="shared" si="140"/>
        <v>0</v>
      </c>
      <c r="AJ122" s="190">
        <f t="shared" si="140"/>
        <v>245350</v>
      </c>
      <c r="AK122" s="190">
        <f t="shared" si="140"/>
        <v>12360</v>
      </c>
      <c r="AL122" s="190">
        <f t="shared" si="140"/>
        <v>257710</v>
      </c>
      <c r="AM122" s="190">
        <f>SUM(AM123:AM136)</f>
        <v>0</v>
      </c>
      <c r="AN122" s="190">
        <f>SUM(AN123:AN136)</f>
        <v>257710</v>
      </c>
      <c r="AO122" s="190">
        <f>SUM(AO123:AO136)</f>
        <v>344346</v>
      </c>
      <c r="AP122" s="81">
        <f>SUM(AP123:AP136)</f>
        <v>186434</v>
      </c>
      <c r="AQ122" s="247">
        <f>SUM(AQ123:AQ136)</f>
        <v>189000</v>
      </c>
      <c r="AR122" s="274"/>
      <c r="AS122" s="244">
        <f t="shared" si="106"/>
        <v>189000</v>
      </c>
      <c r="AT122" s="158"/>
      <c r="AU122" s="103"/>
      <c r="AV122" s="103"/>
      <c r="AW122" s="149"/>
      <c r="AX122" s="150"/>
      <c r="AY122" s="149"/>
      <c r="AZ122" s="149"/>
      <c r="BA122" s="149"/>
    </row>
    <row r="123" spans="1:53" s="13" customFormat="1" ht="22.5" hidden="1">
      <c r="A123" s="52"/>
      <c r="B123" s="27">
        <v>2820</v>
      </c>
      <c r="C123" s="44" t="s">
        <v>59</v>
      </c>
      <c r="D123" s="104">
        <v>25000</v>
      </c>
      <c r="E123" s="105"/>
      <c r="F123" s="106">
        <f t="shared" si="107"/>
        <v>25000</v>
      </c>
      <c r="G123" s="107"/>
      <c r="H123" s="106">
        <f aca="true" t="shared" si="141" ref="H123:H136">G123+F123</f>
        <v>25000</v>
      </c>
      <c r="I123" s="107"/>
      <c r="J123" s="106">
        <f aca="true" t="shared" si="142" ref="J123:J136">I123+H123</f>
        <v>25000</v>
      </c>
      <c r="K123" s="108"/>
      <c r="L123" s="106">
        <f aca="true" t="shared" si="143" ref="L123:L136">K123+H123</f>
        <v>25000</v>
      </c>
      <c r="M123" s="107"/>
      <c r="N123" s="106">
        <f aca="true" t="shared" si="144" ref="N123:R136">M123+L123</f>
        <v>25000</v>
      </c>
      <c r="O123" s="106"/>
      <c r="P123" s="106">
        <f t="shared" si="144"/>
        <v>25000</v>
      </c>
      <c r="Q123" s="107"/>
      <c r="R123" s="106">
        <f t="shared" si="144"/>
        <v>25000</v>
      </c>
      <c r="S123" s="107"/>
      <c r="T123" s="106">
        <f aca="true" t="shared" si="145" ref="T123:T136">S123+R123</f>
        <v>25000</v>
      </c>
      <c r="U123" s="107"/>
      <c r="V123" s="106">
        <f aca="true" t="shared" si="146" ref="V123:V136">U123+T123</f>
        <v>25000</v>
      </c>
      <c r="W123" s="107"/>
      <c r="X123" s="106">
        <f aca="true" t="shared" si="147" ref="X123:X136">W123+V123</f>
        <v>25000</v>
      </c>
      <c r="Y123" s="107"/>
      <c r="Z123" s="106">
        <f aca="true" t="shared" si="148" ref="Z123:Z136">Y123+X123</f>
        <v>25000</v>
      </c>
      <c r="AA123" s="107"/>
      <c r="AB123" s="106">
        <f aca="true" t="shared" si="149" ref="AB123:AB136">AA123+Z123</f>
        <v>25000</v>
      </c>
      <c r="AC123" s="107"/>
      <c r="AD123" s="106">
        <f aca="true" t="shared" si="150" ref="AD123:AD136">AC123+AB123</f>
        <v>25000</v>
      </c>
      <c r="AE123" s="107"/>
      <c r="AF123" s="106">
        <f aca="true" t="shared" si="151" ref="AF123:AF136">AE123+AD123</f>
        <v>25000</v>
      </c>
      <c r="AG123" s="200"/>
      <c r="AH123" s="106">
        <f aca="true" t="shared" si="152" ref="AH123:AH136">AG123+AF123</f>
        <v>25000</v>
      </c>
      <c r="AI123" s="107"/>
      <c r="AJ123" s="106">
        <f aca="true" t="shared" si="153" ref="AJ123:AJ136">AI123+AH123</f>
        <v>25000</v>
      </c>
      <c r="AK123" s="201">
        <v>3500</v>
      </c>
      <c r="AL123" s="106">
        <f t="shared" si="136"/>
        <v>28500</v>
      </c>
      <c r="AM123" s="201"/>
      <c r="AN123" s="106">
        <f aca="true" t="shared" si="154" ref="AN123:AN136">AM123+AL123</f>
        <v>28500</v>
      </c>
      <c r="AO123" s="106">
        <v>45318</v>
      </c>
      <c r="AP123" s="113">
        <f>21564+6535+470</f>
        <v>28569</v>
      </c>
      <c r="AQ123" s="243">
        <v>26000</v>
      </c>
      <c r="AR123" s="275"/>
      <c r="AS123" s="244">
        <f t="shared" si="106"/>
        <v>26000</v>
      </c>
      <c r="AT123" s="158"/>
      <c r="AU123" s="103"/>
      <c r="AV123" s="103"/>
      <c r="AW123" s="151"/>
      <c r="AX123" s="152"/>
      <c r="AY123" s="151"/>
      <c r="AZ123" s="151"/>
      <c r="BA123" s="151"/>
    </row>
    <row r="124" spans="1:50" ht="12.75" hidden="1">
      <c r="A124" s="21"/>
      <c r="B124" s="27">
        <v>3030</v>
      </c>
      <c r="C124" s="18" t="s">
        <v>34</v>
      </c>
      <c r="D124" s="104">
        <v>10000</v>
      </c>
      <c r="E124" s="106"/>
      <c r="F124" s="106">
        <f t="shared" si="107"/>
        <v>10000</v>
      </c>
      <c r="G124" s="109"/>
      <c r="H124" s="106">
        <f t="shared" si="141"/>
        <v>10000</v>
      </c>
      <c r="I124" s="109"/>
      <c r="J124" s="106">
        <f t="shared" si="142"/>
        <v>10000</v>
      </c>
      <c r="K124" s="110"/>
      <c r="L124" s="106">
        <f t="shared" si="143"/>
        <v>10000</v>
      </c>
      <c r="M124" s="109"/>
      <c r="N124" s="106">
        <f t="shared" si="144"/>
        <v>10000</v>
      </c>
      <c r="O124" s="106"/>
      <c r="P124" s="106">
        <f t="shared" si="144"/>
        <v>10000</v>
      </c>
      <c r="Q124" s="109"/>
      <c r="R124" s="106">
        <f t="shared" si="144"/>
        <v>10000</v>
      </c>
      <c r="S124" s="109"/>
      <c r="T124" s="106">
        <f t="shared" si="145"/>
        <v>10000</v>
      </c>
      <c r="U124" s="109"/>
      <c r="V124" s="106">
        <f t="shared" si="146"/>
        <v>10000</v>
      </c>
      <c r="W124" s="109"/>
      <c r="X124" s="106">
        <f t="shared" si="147"/>
        <v>10000</v>
      </c>
      <c r="Y124" s="109"/>
      <c r="Z124" s="106">
        <f t="shared" si="148"/>
        <v>10000</v>
      </c>
      <c r="AA124" s="109"/>
      <c r="AB124" s="106">
        <f t="shared" si="149"/>
        <v>10000</v>
      </c>
      <c r="AC124" s="109">
        <v>8000</v>
      </c>
      <c r="AD124" s="106">
        <f t="shared" si="150"/>
        <v>18000</v>
      </c>
      <c r="AE124" s="109">
        <v>2000</v>
      </c>
      <c r="AF124" s="106">
        <f t="shared" si="151"/>
        <v>20000</v>
      </c>
      <c r="AG124" s="147">
        <v>8000</v>
      </c>
      <c r="AH124" s="106">
        <f t="shared" si="152"/>
        <v>28000</v>
      </c>
      <c r="AI124" s="109"/>
      <c r="AJ124" s="106">
        <f t="shared" si="153"/>
        <v>28000</v>
      </c>
      <c r="AK124" s="109"/>
      <c r="AL124" s="106">
        <f t="shared" si="136"/>
        <v>28000</v>
      </c>
      <c r="AM124" s="109"/>
      <c r="AN124" s="106">
        <f t="shared" si="154"/>
        <v>28000</v>
      </c>
      <c r="AO124" s="106">
        <v>0</v>
      </c>
      <c r="AP124" s="113">
        <f>16569+740+192+185+140+192+550</f>
        <v>18568</v>
      </c>
      <c r="AQ124" s="243">
        <v>28000</v>
      </c>
      <c r="AR124" s="275"/>
      <c r="AS124" s="244">
        <f t="shared" si="106"/>
        <v>28000</v>
      </c>
      <c r="AT124" s="158"/>
      <c r="AU124" s="103"/>
      <c r="AV124" s="103"/>
      <c r="AX124" s="125"/>
    </row>
    <row r="125" spans="1:50" ht="12.75" hidden="1">
      <c r="A125" s="21"/>
      <c r="B125" s="27">
        <v>4110</v>
      </c>
      <c r="C125" s="18" t="s">
        <v>39</v>
      </c>
      <c r="D125" s="104">
        <v>6600</v>
      </c>
      <c r="E125" s="106"/>
      <c r="F125" s="106">
        <f t="shared" si="107"/>
        <v>6600</v>
      </c>
      <c r="G125" s="109"/>
      <c r="H125" s="106">
        <f t="shared" si="141"/>
        <v>6600</v>
      </c>
      <c r="I125" s="109"/>
      <c r="J125" s="106">
        <f t="shared" si="142"/>
        <v>6600</v>
      </c>
      <c r="K125" s="110"/>
      <c r="L125" s="106">
        <f t="shared" si="143"/>
        <v>6600</v>
      </c>
      <c r="M125" s="109"/>
      <c r="N125" s="106">
        <f t="shared" si="144"/>
        <v>6600</v>
      </c>
      <c r="O125" s="106"/>
      <c r="P125" s="106">
        <f t="shared" si="144"/>
        <v>6600</v>
      </c>
      <c r="Q125" s="109"/>
      <c r="R125" s="106">
        <f t="shared" si="144"/>
        <v>6600</v>
      </c>
      <c r="S125" s="109"/>
      <c r="T125" s="106">
        <f t="shared" si="145"/>
        <v>6600</v>
      </c>
      <c r="U125" s="109"/>
      <c r="V125" s="106">
        <f t="shared" si="146"/>
        <v>6600</v>
      </c>
      <c r="W125" s="109"/>
      <c r="X125" s="106">
        <f t="shared" si="147"/>
        <v>6600</v>
      </c>
      <c r="Y125" s="109"/>
      <c r="Z125" s="106">
        <f t="shared" si="148"/>
        <v>6600</v>
      </c>
      <c r="AA125" s="109"/>
      <c r="AB125" s="106">
        <f t="shared" si="149"/>
        <v>6600</v>
      </c>
      <c r="AC125" s="109"/>
      <c r="AD125" s="106">
        <f t="shared" si="150"/>
        <v>6600</v>
      </c>
      <c r="AE125" s="109"/>
      <c r="AF125" s="106">
        <f t="shared" si="151"/>
        <v>6600</v>
      </c>
      <c r="AG125" s="147"/>
      <c r="AH125" s="106">
        <f t="shared" si="152"/>
        <v>6600</v>
      </c>
      <c r="AI125" s="109"/>
      <c r="AJ125" s="106">
        <f t="shared" si="153"/>
        <v>6600</v>
      </c>
      <c r="AK125" s="109"/>
      <c r="AL125" s="106">
        <f t="shared" si="136"/>
        <v>6600</v>
      </c>
      <c r="AM125" s="109"/>
      <c r="AN125" s="106">
        <f t="shared" si="154"/>
        <v>6600</v>
      </c>
      <c r="AO125" s="106">
        <v>2139</v>
      </c>
      <c r="AP125" s="113">
        <v>1811</v>
      </c>
      <c r="AQ125" s="243">
        <v>6000</v>
      </c>
      <c r="AR125" s="275"/>
      <c r="AS125" s="244">
        <f t="shared" si="106"/>
        <v>6000</v>
      </c>
      <c r="AT125" s="158"/>
      <c r="AU125" s="103"/>
      <c r="AV125" s="103"/>
      <c r="AX125" s="125"/>
    </row>
    <row r="126" spans="1:50" ht="12.75" hidden="1">
      <c r="A126" s="21"/>
      <c r="B126" s="27">
        <v>4120</v>
      </c>
      <c r="C126" s="18" t="s">
        <v>40</v>
      </c>
      <c r="D126" s="104">
        <v>1100</v>
      </c>
      <c r="E126" s="106"/>
      <c r="F126" s="106">
        <f t="shared" si="107"/>
        <v>1100</v>
      </c>
      <c r="G126" s="109"/>
      <c r="H126" s="106">
        <f t="shared" si="141"/>
        <v>1100</v>
      </c>
      <c r="I126" s="109"/>
      <c r="J126" s="106">
        <f t="shared" si="142"/>
        <v>1100</v>
      </c>
      <c r="K126" s="110"/>
      <c r="L126" s="106">
        <f t="shared" si="143"/>
        <v>1100</v>
      </c>
      <c r="M126" s="109"/>
      <c r="N126" s="106">
        <f t="shared" si="144"/>
        <v>1100</v>
      </c>
      <c r="O126" s="106"/>
      <c r="P126" s="106">
        <f t="shared" si="144"/>
        <v>1100</v>
      </c>
      <c r="Q126" s="109"/>
      <c r="R126" s="106">
        <f t="shared" si="144"/>
        <v>1100</v>
      </c>
      <c r="S126" s="109"/>
      <c r="T126" s="106">
        <f t="shared" si="145"/>
        <v>1100</v>
      </c>
      <c r="U126" s="109"/>
      <c r="V126" s="106">
        <f t="shared" si="146"/>
        <v>1100</v>
      </c>
      <c r="W126" s="109"/>
      <c r="X126" s="106">
        <f t="shared" si="147"/>
        <v>1100</v>
      </c>
      <c r="Y126" s="109"/>
      <c r="Z126" s="106">
        <f t="shared" si="148"/>
        <v>1100</v>
      </c>
      <c r="AA126" s="109"/>
      <c r="AB126" s="106">
        <f t="shared" si="149"/>
        <v>1100</v>
      </c>
      <c r="AC126" s="109"/>
      <c r="AD126" s="106">
        <f t="shared" si="150"/>
        <v>1100</v>
      </c>
      <c r="AE126" s="109"/>
      <c r="AF126" s="106">
        <f t="shared" si="151"/>
        <v>1100</v>
      </c>
      <c r="AG126" s="147"/>
      <c r="AH126" s="106">
        <f t="shared" si="152"/>
        <v>1100</v>
      </c>
      <c r="AI126" s="109"/>
      <c r="AJ126" s="106">
        <f t="shared" si="153"/>
        <v>1100</v>
      </c>
      <c r="AK126" s="109"/>
      <c r="AL126" s="106">
        <f t="shared" si="136"/>
        <v>1100</v>
      </c>
      <c r="AM126" s="109"/>
      <c r="AN126" s="106">
        <f t="shared" si="154"/>
        <v>1100</v>
      </c>
      <c r="AO126" s="106">
        <v>185</v>
      </c>
      <c r="AP126" s="113">
        <v>172</v>
      </c>
      <c r="AQ126" s="243">
        <v>1000</v>
      </c>
      <c r="AR126" s="275"/>
      <c r="AS126" s="244">
        <f t="shared" si="106"/>
        <v>1000</v>
      </c>
      <c r="AT126" s="158"/>
      <c r="AU126" s="103"/>
      <c r="AV126" s="103"/>
      <c r="AX126" s="125"/>
    </row>
    <row r="127" spans="1:50" ht="12.75" hidden="1">
      <c r="A127" s="21"/>
      <c r="B127" s="27">
        <v>4170</v>
      </c>
      <c r="C127" s="18" t="s">
        <v>42</v>
      </c>
      <c r="D127" s="104">
        <v>44000</v>
      </c>
      <c r="E127" s="106"/>
      <c r="F127" s="106">
        <f t="shared" si="107"/>
        <v>44000</v>
      </c>
      <c r="G127" s="109"/>
      <c r="H127" s="106">
        <f t="shared" si="141"/>
        <v>44000</v>
      </c>
      <c r="I127" s="109"/>
      <c r="J127" s="106">
        <f t="shared" si="142"/>
        <v>44000</v>
      </c>
      <c r="K127" s="110"/>
      <c r="L127" s="106">
        <f t="shared" si="143"/>
        <v>44000</v>
      </c>
      <c r="M127" s="109"/>
      <c r="N127" s="106">
        <f t="shared" si="144"/>
        <v>44000</v>
      </c>
      <c r="O127" s="106"/>
      <c r="P127" s="106">
        <f t="shared" si="144"/>
        <v>44000</v>
      </c>
      <c r="Q127" s="109"/>
      <c r="R127" s="106">
        <f t="shared" si="144"/>
        <v>44000</v>
      </c>
      <c r="S127" s="109"/>
      <c r="T127" s="106">
        <f t="shared" si="145"/>
        <v>44000</v>
      </c>
      <c r="U127" s="109"/>
      <c r="V127" s="106">
        <f t="shared" si="146"/>
        <v>44000</v>
      </c>
      <c r="W127" s="109"/>
      <c r="X127" s="106">
        <f t="shared" si="147"/>
        <v>44000</v>
      </c>
      <c r="Y127" s="109"/>
      <c r="Z127" s="106">
        <f t="shared" si="148"/>
        <v>44000</v>
      </c>
      <c r="AA127" s="109"/>
      <c r="AB127" s="106">
        <f t="shared" si="149"/>
        <v>44000</v>
      </c>
      <c r="AC127" s="109"/>
      <c r="AD127" s="106">
        <f t="shared" si="150"/>
        <v>44000</v>
      </c>
      <c r="AE127" s="109"/>
      <c r="AF127" s="106">
        <f t="shared" si="151"/>
        <v>44000</v>
      </c>
      <c r="AG127" s="147"/>
      <c r="AH127" s="106">
        <f t="shared" si="152"/>
        <v>44000</v>
      </c>
      <c r="AI127" s="109"/>
      <c r="AJ127" s="106">
        <f t="shared" si="153"/>
        <v>44000</v>
      </c>
      <c r="AK127" s="109"/>
      <c r="AL127" s="106">
        <f t="shared" si="136"/>
        <v>44000</v>
      </c>
      <c r="AM127" s="109"/>
      <c r="AN127" s="106">
        <f t="shared" si="154"/>
        <v>44000</v>
      </c>
      <c r="AO127" s="106">
        <v>34680</v>
      </c>
      <c r="AP127" s="113">
        <v>29710</v>
      </c>
      <c r="AQ127" s="243">
        <v>44000</v>
      </c>
      <c r="AR127" s="275"/>
      <c r="AS127" s="244">
        <f t="shared" si="106"/>
        <v>44000</v>
      </c>
      <c r="AT127" s="158"/>
      <c r="AU127" s="103"/>
      <c r="AV127" s="103"/>
      <c r="AX127" s="125"/>
    </row>
    <row r="128" spans="1:50" ht="12.75" hidden="1">
      <c r="A128" s="21"/>
      <c r="B128" s="27">
        <v>4210</v>
      </c>
      <c r="C128" s="18" t="s">
        <v>14</v>
      </c>
      <c r="D128" s="104">
        <v>39000</v>
      </c>
      <c r="E128" s="106"/>
      <c r="F128" s="106">
        <f t="shared" si="107"/>
        <v>39000</v>
      </c>
      <c r="G128" s="109">
        <v>-4350</v>
      </c>
      <c r="H128" s="106">
        <f t="shared" si="141"/>
        <v>34650</v>
      </c>
      <c r="I128" s="109"/>
      <c r="J128" s="106">
        <f t="shared" si="142"/>
        <v>34650</v>
      </c>
      <c r="K128" s="110"/>
      <c r="L128" s="106">
        <f t="shared" si="143"/>
        <v>34650</v>
      </c>
      <c r="M128" s="109"/>
      <c r="N128" s="106">
        <f t="shared" si="144"/>
        <v>34650</v>
      </c>
      <c r="O128" s="106"/>
      <c r="P128" s="106">
        <f t="shared" si="144"/>
        <v>34650</v>
      </c>
      <c r="Q128" s="109"/>
      <c r="R128" s="106">
        <f t="shared" si="144"/>
        <v>34650</v>
      </c>
      <c r="S128" s="109"/>
      <c r="T128" s="106">
        <f t="shared" si="145"/>
        <v>34650</v>
      </c>
      <c r="U128" s="109">
        <v>10000</v>
      </c>
      <c r="V128" s="106">
        <f t="shared" si="146"/>
        <v>44650</v>
      </c>
      <c r="W128" s="109"/>
      <c r="X128" s="106">
        <f t="shared" si="147"/>
        <v>44650</v>
      </c>
      <c r="Y128" s="109"/>
      <c r="Z128" s="106">
        <f t="shared" si="148"/>
        <v>44650</v>
      </c>
      <c r="AA128" s="109">
        <v>5000</v>
      </c>
      <c r="AB128" s="106">
        <f t="shared" si="149"/>
        <v>49650</v>
      </c>
      <c r="AC128" s="109">
        <v>8000</v>
      </c>
      <c r="AD128" s="106">
        <f t="shared" si="150"/>
        <v>57650</v>
      </c>
      <c r="AE128" s="109"/>
      <c r="AF128" s="106">
        <f t="shared" si="151"/>
        <v>57650</v>
      </c>
      <c r="AG128" s="147">
        <v>7000</v>
      </c>
      <c r="AH128" s="106">
        <f t="shared" si="152"/>
        <v>64650</v>
      </c>
      <c r="AI128" s="109"/>
      <c r="AJ128" s="106">
        <f t="shared" si="153"/>
        <v>64650</v>
      </c>
      <c r="AK128" s="109"/>
      <c r="AL128" s="106">
        <f t="shared" si="136"/>
        <v>64650</v>
      </c>
      <c r="AM128" s="109"/>
      <c r="AN128" s="106">
        <f t="shared" si="154"/>
        <v>64650</v>
      </c>
      <c r="AO128" s="106">
        <v>114368</v>
      </c>
      <c r="AP128" s="113">
        <f>58430+266+1410</f>
        <v>60106</v>
      </c>
      <c r="AQ128" s="243">
        <v>20000</v>
      </c>
      <c r="AR128" s="275"/>
      <c r="AS128" s="244">
        <f t="shared" si="106"/>
        <v>20000</v>
      </c>
      <c r="AT128" s="158"/>
      <c r="AU128" s="103"/>
      <c r="AV128" s="103"/>
      <c r="AX128" s="125"/>
    </row>
    <row r="129" spans="1:50" ht="12.75" hidden="1">
      <c r="A129" s="21"/>
      <c r="B129" s="27">
        <v>4250</v>
      </c>
      <c r="C129" s="18" t="s">
        <v>60</v>
      </c>
      <c r="D129" s="104">
        <v>10000</v>
      </c>
      <c r="E129" s="106"/>
      <c r="F129" s="106">
        <f t="shared" si="107"/>
        <v>10000</v>
      </c>
      <c r="G129" s="109"/>
      <c r="H129" s="106">
        <f t="shared" si="141"/>
        <v>10000</v>
      </c>
      <c r="I129" s="109"/>
      <c r="J129" s="106">
        <f t="shared" si="142"/>
        <v>10000</v>
      </c>
      <c r="K129" s="110"/>
      <c r="L129" s="106">
        <f t="shared" si="143"/>
        <v>10000</v>
      </c>
      <c r="M129" s="109"/>
      <c r="N129" s="106">
        <f t="shared" si="144"/>
        <v>10000</v>
      </c>
      <c r="O129" s="106"/>
      <c r="P129" s="106">
        <f t="shared" si="144"/>
        <v>10000</v>
      </c>
      <c r="Q129" s="109"/>
      <c r="R129" s="106">
        <f t="shared" si="144"/>
        <v>10000</v>
      </c>
      <c r="S129" s="109"/>
      <c r="T129" s="106">
        <f t="shared" si="145"/>
        <v>10000</v>
      </c>
      <c r="U129" s="109"/>
      <c r="V129" s="106">
        <f t="shared" si="146"/>
        <v>10000</v>
      </c>
      <c r="W129" s="109"/>
      <c r="X129" s="106">
        <f t="shared" si="147"/>
        <v>10000</v>
      </c>
      <c r="Y129" s="109"/>
      <c r="Z129" s="106">
        <f t="shared" si="148"/>
        <v>10000</v>
      </c>
      <c r="AA129" s="109"/>
      <c r="AB129" s="106">
        <f t="shared" si="149"/>
        <v>10000</v>
      </c>
      <c r="AC129" s="109">
        <v>-5000</v>
      </c>
      <c r="AD129" s="106">
        <f t="shared" si="150"/>
        <v>5000</v>
      </c>
      <c r="AE129" s="109"/>
      <c r="AF129" s="106">
        <f t="shared" si="151"/>
        <v>5000</v>
      </c>
      <c r="AG129" s="147"/>
      <c r="AH129" s="106">
        <f t="shared" si="152"/>
        <v>5000</v>
      </c>
      <c r="AI129" s="109"/>
      <c r="AJ129" s="106">
        <f t="shared" si="153"/>
        <v>5000</v>
      </c>
      <c r="AK129" s="109"/>
      <c r="AL129" s="106">
        <f t="shared" si="136"/>
        <v>5000</v>
      </c>
      <c r="AM129" s="109"/>
      <c r="AN129" s="106">
        <f t="shared" si="154"/>
        <v>5000</v>
      </c>
      <c r="AO129" s="106">
        <v>0</v>
      </c>
      <c r="AP129" s="113">
        <v>0</v>
      </c>
      <c r="AQ129" s="243">
        <v>10000</v>
      </c>
      <c r="AR129" s="275"/>
      <c r="AS129" s="244">
        <f t="shared" si="106"/>
        <v>10000</v>
      </c>
      <c r="AT129" s="158"/>
      <c r="AU129" s="103"/>
      <c r="AV129" s="103"/>
      <c r="AX129" s="125"/>
    </row>
    <row r="130" spans="1:50" ht="12.75" hidden="1">
      <c r="A130" s="21"/>
      <c r="B130" s="27">
        <v>4260</v>
      </c>
      <c r="C130" s="18" t="s">
        <v>43</v>
      </c>
      <c r="D130" s="104">
        <v>20000</v>
      </c>
      <c r="E130" s="106"/>
      <c r="F130" s="106">
        <f t="shared" si="107"/>
        <v>20000</v>
      </c>
      <c r="G130" s="109"/>
      <c r="H130" s="106">
        <f t="shared" si="141"/>
        <v>20000</v>
      </c>
      <c r="I130" s="109"/>
      <c r="J130" s="106">
        <f t="shared" si="142"/>
        <v>20000</v>
      </c>
      <c r="K130" s="110"/>
      <c r="L130" s="106">
        <f t="shared" si="143"/>
        <v>20000</v>
      </c>
      <c r="M130" s="109"/>
      <c r="N130" s="106">
        <f t="shared" si="144"/>
        <v>20000</v>
      </c>
      <c r="O130" s="106"/>
      <c r="P130" s="106">
        <f t="shared" si="144"/>
        <v>20000</v>
      </c>
      <c r="Q130" s="109"/>
      <c r="R130" s="106">
        <f t="shared" si="144"/>
        <v>20000</v>
      </c>
      <c r="S130" s="109"/>
      <c r="T130" s="106">
        <f t="shared" si="145"/>
        <v>20000</v>
      </c>
      <c r="U130" s="109"/>
      <c r="V130" s="106">
        <f t="shared" si="146"/>
        <v>20000</v>
      </c>
      <c r="W130" s="109"/>
      <c r="X130" s="106">
        <f t="shared" si="147"/>
        <v>20000</v>
      </c>
      <c r="Y130" s="109"/>
      <c r="Z130" s="106">
        <f t="shared" si="148"/>
        <v>20000</v>
      </c>
      <c r="AA130" s="109"/>
      <c r="AB130" s="106">
        <f t="shared" si="149"/>
        <v>20000</v>
      </c>
      <c r="AC130" s="109"/>
      <c r="AD130" s="106">
        <f t="shared" si="150"/>
        <v>20000</v>
      </c>
      <c r="AE130" s="109"/>
      <c r="AF130" s="106">
        <f t="shared" si="151"/>
        <v>20000</v>
      </c>
      <c r="AG130" s="147"/>
      <c r="AH130" s="106">
        <f t="shared" si="152"/>
        <v>20000</v>
      </c>
      <c r="AI130" s="109"/>
      <c r="AJ130" s="106">
        <f t="shared" si="153"/>
        <v>20000</v>
      </c>
      <c r="AK130" s="109"/>
      <c r="AL130" s="106">
        <f t="shared" si="136"/>
        <v>20000</v>
      </c>
      <c r="AM130" s="109"/>
      <c r="AN130" s="106">
        <f t="shared" si="154"/>
        <v>20000</v>
      </c>
      <c r="AO130" s="106">
        <v>27472</v>
      </c>
      <c r="AP130" s="113">
        <f>13343+129+4791+61</f>
        <v>18324</v>
      </c>
      <c r="AQ130" s="243">
        <v>15000</v>
      </c>
      <c r="AR130" s="275"/>
      <c r="AS130" s="244">
        <f t="shared" si="106"/>
        <v>15000</v>
      </c>
      <c r="AT130" s="158"/>
      <c r="AU130" s="103">
        <f>AP130/3*4</f>
        <v>24432</v>
      </c>
      <c r="AV130" s="103"/>
      <c r="AX130" s="125"/>
    </row>
    <row r="131" spans="1:50" ht="12.75" hidden="1">
      <c r="A131" s="21"/>
      <c r="B131" s="27">
        <v>4270</v>
      </c>
      <c r="C131" s="18" t="s">
        <v>24</v>
      </c>
      <c r="D131" s="104">
        <v>23000</v>
      </c>
      <c r="E131" s="106"/>
      <c r="F131" s="106">
        <f t="shared" si="107"/>
        <v>23000</v>
      </c>
      <c r="G131" s="109"/>
      <c r="H131" s="106">
        <f t="shared" si="141"/>
        <v>23000</v>
      </c>
      <c r="I131" s="109"/>
      <c r="J131" s="106">
        <f t="shared" si="142"/>
        <v>23000</v>
      </c>
      <c r="K131" s="110"/>
      <c r="L131" s="106">
        <f t="shared" si="143"/>
        <v>23000</v>
      </c>
      <c r="M131" s="109"/>
      <c r="N131" s="106">
        <f t="shared" si="144"/>
        <v>23000</v>
      </c>
      <c r="O131" s="106"/>
      <c r="P131" s="106">
        <f t="shared" si="144"/>
        <v>23000</v>
      </c>
      <c r="Q131" s="109"/>
      <c r="R131" s="106">
        <f t="shared" si="144"/>
        <v>23000</v>
      </c>
      <c r="S131" s="109"/>
      <c r="T131" s="106">
        <f t="shared" si="145"/>
        <v>23000</v>
      </c>
      <c r="U131" s="109"/>
      <c r="V131" s="106">
        <f t="shared" si="146"/>
        <v>23000</v>
      </c>
      <c r="W131" s="109"/>
      <c r="X131" s="106">
        <f t="shared" si="147"/>
        <v>23000</v>
      </c>
      <c r="Y131" s="109"/>
      <c r="Z131" s="106">
        <f t="shared" si="148"/>
        <v>23000</v>
      </c>
      <c r="AA131" s="109"/>
      <c r="AB131" s="106">
        <f t="shared" si="149"/>
        <v>23000</v>
      </c>
      <c r="AC131" s="109">
        <v>-8000</v>
      </c>
      <c r="AD131" s="106">
        <f t="shared" si="150"/>
        <v>15000</v>
      </c>
      <c r="AE131" s="109">
        <v>-4000</v>
      </c>
      <c r="AF131" s="106">
        <f t="shared" si="151"/>
        <v>11000</v>
      </c>
      <c r="AG131" s="147"/>
      <c r="AH131" s="106">
        <f t="shared" si="152"/>
        <v>11000</v>
      </c>
      <c r="AI131" s="109"/>
      <c r="AJ131" s="106">
        <f t="shared" si="153"/>
        <v>11000</v>
      </c>
      <c r="AK131" s="109">
        <v>5260</v>
      </c>
      <c r="AL131" s="106">
        <f t="shared" si="136"/>
        <v>16260</v>
      </c>
      <c r="AM131" s="109"/>
      <c r="AN131" s="106">
        <f t="shared" si="154"/>
        <v>16260</v>
      </c>
      <c r="AO131" s="106">
        <v>23035</v>
      </c>
      <c r="AP131" s="113">
        <v>5049</v>
      </c>
      <c r="AQ131" s="243">
        <v>10000</v>
      </c>
      <c r="AR131" s="275"/>
      <c r="AS131" s="244">
        <f t="shared" si="106"/>
        <v>10000</v>
      </c>
      <c r="AT131" s="158"/>
      <c r="AU131" s="103"/>
      <c r="AV131" s="103"/>
      <c r="AX131" s="125"/>
    </row>
    <row r="132" spans="1:50" ht="12.75" hidden="1">
      <c r="A132" s="21"/>
      <c r="B132" s="27">
        <v>4280</v>
      </c>
      <c r="C132" s="18" t="s">
        <v>44</v>
      </c>
      <c r="D132" s="104">
        <v>650</v>
      </c>
      <c r="E132" s="106">
        <v>1150</v>
      </c>
      <c r="F132" s="106">
        <f t="shared" si="107"/>
        <v>1800</v>
      </c>
      <c r="G132" s="109"/>
      <c r="H132" s="106">
        <f t="shared" si="141"/>
        <v>1800</v>
      </c>
      <c r="I132" s="109"/>
      <c r="J132" s="106">
        <f t="shared" si="142"/>
        <v>1800</v>
      </c>
      <c r="K132" s="110"/>
      <c r="L132" s="106">
        <f t="shared" si="143"/>
        <v>1800</v>
      </c>
      <c r="M132" s="109"/>
      <c r="N132" s="106">
        <f t="shared" si="144"/>
        <v>1800</v>
      </c>
      <c r="O132" s="106"/>
      <c r="P132" s="106">
        <f t="shared" si="144"/>
        <v>1800</v>
      </c>
      <c r="Q132" s="109"/>
      <c r="R132" s="106">
        <f t="shared" si="144"/>
        <v>1800</v>
      </c>
      <c r="S132" s="109"/>
      <c r="T132" s="106">
        <f t="shared" si="145"/>
        <v>1800</v>
      </c>
      <c r="U132" s="109"/>
      <c r="V132" s="106">
        <f t="shared" si="146"/>
        <v>1800</v>
      </c>
      <c r="W132" s="109"/>
      <c r="X132" s="106">
        <f t="shared" si="147"/>
        <v>1800</v>
      </c>
      <c r="Y132" s="109"/>
      <c r="Z132" s="106">
        <f t="shared" si="148"/>
        <v>1800</v>
      </c>
      <c r="AA132" s="109"/>
      <c r="AB132" s="106">
        <f t="shared" si="149"/>
        <v>1800</v>
      </c>
      <c r="AC132" s="109"/>
      <c r="AD132" s="106">
        <f t="shared" si="150"/>
        <v>1800</v>
      </c>
      <c r="AE132" s="109"/>
      <c r="AF132" s="106">
        <f t="shared" si="151"/>
        <v>1800</v>
      </c>
      <c r="AG132" s="147"/>
      <c r="AH132" s="106">
        <f t="shared" si="152"/>
        <v>1800</v>
      </c>
      <c r="AI132" s="109"/>
      <c r="AJ132" s="106">
        <f t="shared" si="153"/>
        <v>1800</v>
      </c>
      <c r="AK132" s="109"/>
      <c r="AL132" s="106">
        <f t="shared" si="136"/>
        <v>1800</v>
      </c>
      <c r="AM132" s="109"/>
      <c r="AN132" s="106">
        <f t="shared" si="154"/>
        <v>1800</v>
      </c>
      <c r="AO132" s="106">
        <v>450</v>
      </c>
      <c r="AP132" s="113">
        <v>1390</v>
      </c>
      <c r="AQ132" s="243">
        <v>3000</v>
      </c>
      <c r="AR132" s="275"/>
      <c r="AS132" s="244">
        <f t="shared" si="106"/>
        <v>3000</v>
      </c>
      <c r="AT132" s="158"/>
      <c r="AU132" s="103"/>
      <c r="AV132" s="103"/>
      <c r="AX132" s="125"/>
    </row>
    <row r="133" spans="1:50" ht="12.75" hidden="1">
      <c r="A133" s="21"/>
      <c r="B133" s="27">
        <v>4300</v>
      </c>
      <c r="C133" s="18" t="s">
        <v>15</v>
      </c>
      <c r="D133" s="104">
        <v>15000</v>
      </c>
      <c r="E133" s="106">
        <v>-1150</v>
      </c>
      <c r="F133" s="106">
        <f t="shared" si="107"/>
        <v>13850</v>
      </c>
      <c r="G133" s="109"/>
      <c r="H133" s="106">
        <f t="shared" si="141"/>
        <v>13850</v>
      </c>
      <c r="I133" s="109"/>
      <c r="J133" s="106">
        <f t="shared" si="142"/>
        <v>13850</v>
      </c>
      <c r="K133" s="110"/>
      <c r="L133" s="106">
        <f t="shared" si="143"/>
        <v>13850</v>
      </c>
      <c r="M133" s="109"/>
      <c r="N133" s="106">
        <f t="shared" si="144"/>
        <v>13850</v>
      </c>
      <c r="O133" s="106"/>
      <c r="P133" s="106">
        <f t="shared" si="144"/>
        <v>13850</v>
      </c>
      <c r="Q133" s="109"/>
      <c r="R133" s="106">
        <f t="shared" si="144"/>
        <v>13850</v>
      </c>
      <c r="S133" s="109"/>
      <c r="T133" s="106">
        <f t="shared" si="145"/>
        <v>13850</v>
      </c>
      <c r="U133" s="109"/>
      <c r="V133" s="106">
        <f t="shared" si="146"/>
        <v>13850</v>
      </c>
      <c r="W133" s="109"/>
      <c r="X133" s="106">
        <f t="shared" si="147"/>
        <v>13850</v>
      </c>
      <c r="Y133" s="109"/>
      <c r="Z133" s="106">
        <f t="shared" si="148"/>
        <v>13850</v>
      </c>
      <c r="AA133" s="109"/>
      <c r="AB133" s="106">
        <f t="shared" si="149"/>
        <v>13850</v>
      </c>
      <c r="AC133" s="109">
        <v>-3000</v>
      </c>
      <c r="AD133" s="106">
        <f t="shared" si="150"/>
        <v>10850</v>
      </c>
      <c r="AE133" s="109">
        <v>2000</v>
      </c>
      <c r="AF133" s="106">
        <f t="shared" si="151"/>
        <v>12850</v>
      </c>
      <c r="AG133" s="147">
        <v>4000</v>
      </c>
      <c r="AH133" s="106">
        <f t="shared" si="152"/>
        <v>16850</v>
      </c>
      <c r="AI133" s="109"/>
      <c r="AJ133" s="106">
        <f t="shared" si="153"/>
        <v>16850</v>
      </c>
      <c r="AK133" s="109"/>
      <c r="AL133" s="106">
        <f t="shared" si="136"/>
        <v>16850</v>
      </c>
      <c r="AM133" s="109"/>
      <c r="AN133" s="106">
        <f t="shared" si="154"/>
        <v>16850</v>
      </c>
      <c r="AO133" s="106">
        <v>15603</v>
      </c>
      <c r="AP133" s="113">
        <f>8810+3660</f>
        <v>12470</v>
      </c>
      <c r="AQ133" s="243">
        <v>14000</v>
      </c>
      <c r="AR133" s="275"/>
      <c r="AS133" s="244">
        <f t="shared" si="106"/>
        <v>14000</v>
      </c>
      <c r="AT133" s="158"/>
      <c r="AU133" s="103"/>
      <c r="AV133" s="103"/>
      <c r="AX133" s="125"/>
    </row>
    <row r="134" spans="1:50" ht="12.75" hidden="1">
      <c r="A134" s="21"/>
      <c r="B134" s="27">
        <v>4430</v>
      </c>
      <c r="C134" s="18" t="s">
        <v>16</v>
      </c>
      <c r="D134" s="104">
        <v>17000</v>
      </c>
      <c r="E134" s="106"/>
      <c r="F134" s="106">
        <f t="shared" si="107"/>
        <v>17000</v>
      </c>
      <c r="G134" s="109"/>
      <c r="H134" s="106">
        <f t="shared" si="141"/>
        <v>17000</v>
      </c>
      <c r="I134" s="109"/>
      <c r="J134" s="106">
        <f t="shared" si="142"/>
        <v>17000</v>
      </c>
      <c r="K134" s="110"/>
      <c r="L134" s="106">
        <f t="shared" si="143"/>
        <v>17000</v>
      </c>
      <c r="M134" s="109"/>
      <c r="N134" s="106">
        <f t="shared" si="144"/>
        <v>17000</v>
      </c>
      <c r="O134" s="106"/>
      <c r="P134" s="106">
        <f t="shared" si="144"/>
        <v>17000</v>
      </c>
      <c r="Q134" s="109"/>
      <c r="R134" s="106">
        <f t="shared" si="144"/>
        <v>17000</v>
      </c>
      <c r="S134" s="109"/>
      <c r="T134" s="106">
        <f t="shared" si="145"/>
        <v>17000</v>
      </c>
      <c r="U134" s="109"/>
      <c r="V134" s="106">
        <f t="shared" si="146"/>
        <v>17000</v>
      </c>
      <c r="W134" s="109"/>
      <c r="X134" s="106">
        <f t="shared" si="147"/>
        <v>17000</v>
      </c>
      <c r="Y134" s="109"/>
      <c r="Z134" s="106">
        <f t="shared" si="148"/>
        <v>17000</v>
      </c>
      <c r="AA134" s="109"/>
      <c r="AB134" s="106">
        <f t="shared" si="149"/>
        <v>17000</v>
      </c>
      <c r="AC134" s="109"/>
      <c r="AD134" s="106">
        <f t="shared" si="150"/>
        <v>17000</v>
      </c>
      <c r="AE134" s="109"/>
      <c r="AF134" s="106">
        <f t="shared" si="151"/>
        <v>17000</v>
      </c>
      <c r="AG134" s="147"/>
      <c r="AH134" s="106">
        <f t="shared" si="152"/>
        <v>17000</v>
      </c>
      <c r="AI134" s="109"/>
      <c r="AJ134" s="106">
        <f t="shared" si="153"/>
        <v>17000</v>
      </c>
      <c r="AK134" s="109"/>
      <c r="AL134" s="106">
        <f t="shared" si="136"/>
        <v>17000</v>
      </c>
      <c r="AM134" s="109"/>
      <c r="AN134" s="106">
        <f t="shared" si="154"/>
        <v>17000</v>
      </c>
      <c r="AO134" s="106">
        <v>11096</v>
      </c>
      <c r="AP134" s="113">
        <v>5916</v>
      </c>
      <c r="AQ134" s="243">
        <v>12000</v>
      </c>
      <c r="AR134" s="275"/>
      <c r="AS134" s="244">
        <f t="shared" si="106"/>
        <v>12000</v>
      </c>
      <c r="AT134" s="158"/>
      <c r="AU134" s="103"/>
      <c r="AV134" s="103"/>
      <c r="AX134" s="125"/>
    </row>
    <row r="135" spans="1:50" ht="12.75" hidden="1">
      <c r="A135" s="21"/>
      <c r="B135" s="27">
        <v>6050</v>
      </c>
      <c r="C135" s="18" t="s">
        <v>26</v>
      </c>
      <c r="D135" s="104"/>
      <c r="E135" s="106"/>
      <c r="F135" s="106"/>
      <c r="G135" s="109"/>
      <c r="H135" s="106"/>
      <c r="I135" s="109"/>
      <c r="J135" s="106"/>
      <c r="K135" s="110"/>
      <c r="L135" s="106"/>
      <c r="M135" s="109"/>
      <c r="N135" s="106"/>
      <c r="O135" s="106"/>
      <c r="P135" s="106"/>
      <c r="Q135" s="109"/>
      <c r="R135" s="106"/>
      <c r="S135" s="109"/>
      <c r="T135" s="106"/>
      <c r="U135" s="109"/>
      <c r="V135" s="106"/>
      <c r="W135" s="109"/>
      <c r="X135" s="106"/>
      <c r="Y135" s="109"/>
      <c r="Z135" s="106"/>
      <c r="AA135" s="109"/>
      <c r="AB135" s="106"/>
      <c r="AC135" s="109"/>
      <c r="AD135" s="106"/>
      <c r="AE135" s="109"/>
      <c r="AF135" s="106"/>
      <c r="AG135" s="147"/>
      <c r="AH135" s="106"/>
      <c r="AI135" s="109"/>
      <c r="AJ135" s="106"/>
      <c r="AK135" s="109">
        <f>3600+4350</f>
        <v>7950</v>
      </c>
      <c r="AL135" s="106">
        <f t="shared" si="136"/>
        <v>7950</v>
      </c>
      <c r="AM135" s="109"/>
      <c r="AN135" s="106">
        <f t="shared" si="154"/>
        <v>7950</v>
      </c>
      <c r="AO135" s="106">
        <v>0</v>
      </c>
      <c r="AP135" s="113">
        <v>4349</v>
      </c>
      <c r="AQ135" s="243">
        <v>0</v>
      </c>
      <c r="AR135" s="275"/>
      <c r="AS135" s="244">
        <f t="shared" si="106"/>
        <v>0</v>
      </c>
      <c r="AT135" s="158"/>
      <c r="AU135" s="103"/>
      <c r="AV135" s="103"/>
      <c r="AX135" s="125"/>
    </row>
    <row r="136" spans="1:50" ht="12.75" hidden="1">
      <c r="A136" s="21"/>
      <c r="B136" s="18">
        <v>6060</v>
      </c>
      <c r="C136" s="18" t="s">
        <v>61</v>
      </c>
      <c r="D136" s="104">
        <v>0</v>
      </c>
      <c r="E136" s="106">
        <v>0</v>
      </c>
      <c r="F136" s="106">
        <f t="shared" si="107"/>
        <v>0</v>
      </c>
      <c r="G136" s="109">
        <v>4350</v>
      </c>
      <c r="H136" s="106">
        <f t="shared" si="141"/>
        <v>4350</v>
      </c>
      <c r="I136" s="109"/>
      <c r="J136" s="106">
        <f t="shared" si="142"/>
        <v>4350</v>
      </c>
      <c r="K136" s="110"/>
      <c r="L136" s="106">
        <f t="shared" si="143"/>
        <v>4350</v>
      </c>
      <c r="M136" s="109"/>
      <c r="N136" s="106">
        <f t="shared" si="144"/>
        <v>4350</v>
      </c>
      <c r="O136" s="106"/>
      <c r="P136" s="106">
        <f t="shared" si="144"/>
        <v>4350</v>
      </c>
      <c r="Q136" s="109"/>
      <c r="R136" s="106">
        <f t="shared" si="144"/>
        <v>4350</v>
      </c>
      <c r="S136" s="109"/>
      <c r="T136" s="106">
        <f t="shared" si="145"/>
        <v>4350</v>
      </c>
      <c r="U136" s="109"/>
      <c r="V136" s="106">
        <f t="shared" si="146"/>
        <v>4350</v>
      </c>
      <c r="W136" s="109"/>
      <c r="X136" s="106">
        <f t="shared" si="147"/>
        <v>4350</v>
      </c>
      <c r="Y136" s="109"/>
      <c r="Z136" s="106">
        <f t="shared" si="148"/>
        <v>4350</v>
      </c>
      <c r="AA136" s="109"/>
      <c r="AB136" s="106">
        <f t="shared" si="149"/>
        <v>4350</v>
      </c>
      <c r="AC136" s="109"/>
      <c r="AD136" s="106">
        <f t="shared" si="150"/>
        <v>4350</v>
      </c>
      <c r="AE136" s="109"/>
      <c r="AF136" s="106">
        <f t="shared" si="151"/>
        <v>4350</v>
      </c>
      <c r="AG136" s="147"/>
      <c r="AH136" s="106">
        <f t="shared" si="152"/>
        <v>4350</v>
      </c>
      <c r="AI136" s="109"/>
      <c r="AJ136" s="106">
        <f t="shared" si="153"/>
        <v>4350</v>
      </c>
      <c r="AK136" s="109">
        <v>-4350</v>
      </c>
      <c r="AL136" s="106">
        <f t="shared" si="136"/>
        <v>0</v>
      </c>
      <c r="AM136" s="109"/>
      <c r="AN136" s="106">
        <f t="shared" si="154"/>
        <v>0</v>
      </c>
      <c r="AO136" s="106">
        <v>70000</v>
      </c>
      <c r="AP136" s="113">
        <v>0</v>
      </c>
      <c r="AQ136" s="243">
        <v>0</v>
      </c>
      <c r="AR136" s="275"/>
      <c r="AS136" s="244">
        <f t="shared" si="106"/>
        <v>0</v>
      </c>
      <c r="AT136" s="158"/>
      <c r="AU136" s="103"/>
      <c r="AV136" s="103"/>
      <c r="AX136" s="125"/>
    </row>
    <row r="137" spans="1:50" ht="12.75" hidden="1">
      <c r="A137" s="31">
        <v>75421</v>
      </c>
      <c r="B137" s="26"/>
      <c r="C137" s="19" t="s">
        <v>62</v>
      </c>
      <c r="D137" s="190">
        <f aca="true" t="shared" si="155" ref="D137:J137">SUM(D138)</f>
        <v>90000</v>
      </c>
      <c r="E137" s="190">
        <f t="shared" si="155"/>
        <v>0</v>
      </c>
      <c r="F137" s="190">
        <f t="shared" si="155"/>
        <v>90000</v>
      </c>
      <c r="G137" s="190">
        <f t="shared" si="155"/>
        <v>0</v>
      </c>
      <c r="H137" s="190">
        <f t="shared" si="155"/>
        <v>90000</v>
      </c>
      <c r="I137" s="190">
        <f t="shared" si="155"/>
        <v>0</v>
      </c>
      <c r="J137" s="190">
        <f t="shared" si="155"/>
        <v>90000</v>
      </c>
      <c r="K137" s="110"/>
      <c r="L137" s="190">
        <f>SUM(L138)</f>
        <v>90000</v>
      </c>
      <c r="M137" s="109"/>
      <c r="N137" s="190">
        <f>SUM(N138)</f>
        <v>90000</v>
      </c>
      <c r="O137" s="190"/>
      <c r="P137" s="190">
        <f>SUM(P138)</f>
        <v>90000</v>
      </c>
      <c r="Q137" s="109"/>
      <c r="R137" s="190">
        <f>SUM(R138)</f>
        <v>90000</v>
      </c>
      <c r="S137" s="109"/>
      <c r="T137" s="190">
        <f>SUM(T138)</f>
        <v>90000</v>
      </c>
      <c r="U137" s="109"/>
      <c r="V137" s="190">
        <f>SUM(V138)</f>
        <v>90000</v>
      </c>
      <c r="W137" s="109"/>
      <c r="X137" s="190">
        <f>SUM(X138)</f>
        <v>90000</v>
      </c>
      <c r="Y137" s="109"/>
      <c r="Z137" s="190">
        <f aca="true" t="shared" si="156" ref="Z137:AQ137">SUM(Z138)</f>
        <v>90000</v>
      </c>
      <c r="AA137" s="190">
        <f t="shared" si="156"/>
        <v>-14000</v>
      </c>
      <c r="AB137" s="190">
        <f t="shared" si="156"/>
        <v>76000</v>
      </c>
      <c r="AC137" s="190">
        <f t="shared" si="156"/>
        <v>0</v>
      </c>
      <c r="AD137" s="190">
        <f t="shared" si="156"/>
        <v>76000</v>
      </c>
      <c r="AE137" s="190">
        <f t="shared" si="156"/>
        <v>0</v>
      </c>
      <c r="AF137" s="190">
        <f t="shared" si="156"/>
        <v>76000</v>
      </c>
      <c r="AG137" s="191">
        <f t="shared" si="156"/>
        <v>0</v>
      </c>
      <c r="AH137" s="190">
        <f t="shared" si="156"/>
        <v>76000</v>
      </c>
      <c r="AI137" s="190">
        <f t="shared" si="156"/>
        <v>0</v>
      </c>
      <c r="AJ137" s="190">
        <f t="shared" si="156"/>
        <v>76000</v>
      </c>
      <c r="AK137" s="190">
        <f t="shared" si="156"/>
        <v>0</v>
      </c>
      <c r="AL137" s="190">
        <f t="shared" si="156"/>
        <v>76000</v>
      </c>
      <c r="AM137" s="190">
        <f t="shared" si="156"/>
        <v>0</v>
      </c>
      <c r="AN137" s="190">
        <f t="shared" si="156"/>
        <v>76000</v>
      </c>
      <c r="AO137" s="190">
        <f t="shared" si="156"/>
        <v>0</v>
      </c>
      <c r="AP137" s="81">
        <f t="shared" si="156"/>
        <v>0</v>
      </c>
      <c r="AQ137" s="247">
        <f t="shared" si="156"/>
        <v>90000</v>
      </c>
      <c r="AR137" s="274"/>
      <c r="AS137" s="244">
        <f t="shared" si="106"/>
        <v>90000</v>
      </c>
      <c r="AT137" s="158"/>
      <c r="AU137" s="103"/>
      <c r="AV137" s="103"/>
      <c r="AX137" s="125"/>
    </row>
    <row r="138" spans="1:50" ht="12.75" hidden="1">
      <c r="A138" s="21"/>
      <c r="B138" s="27">
        <v>4810</v>
      </c>
      <c r="C138" s="18" t="s">
        <v>133</v>
      </c>
      <c r="D138" s="104">
        <v>90000</v>
      </c>
      <c r="E138" s="106"/>
      <c r="F138" s="106">
        <f t="shared" si="107"/>
        <v>90000</v>
      </c>
      <c r="G138" s="109"/>
      <c r="H138" s="106">
        <f>G138+F138</f>
        <v>90000</v>
      </c>
      <c r="I138" s="109"/>
      <c r="J138" s="106">
        <f>I138+H138</f>
        <v>90000</v>
      </c>
      <c r="K138" s="110"/>
      <c r="L138" s="106">
        <f>K138+H138</f>
        <v>90000</v>
      </c>
      <c r="M138" s="109"/>
      <c r="N138" s="106">
        <f>M138+L138</f>
        <v>90000</v>
      </c>
      <c r="O138" s="106"/>
      <c r="P138" s="106">
        <f>O138+N138</f>
        <v>90000</v>
      </c>
      <c r="Q138" s="109"/>
      <c r="R138" s="106">
        <f>Q138+P138</f>
        <v>90000</v>
      </c>
      <c r="S138" s="109"/>
      <c r="T138" s="106">
        <f>S138+R138</f>
        <v>90000</v>
      </c>
      <c r="U138" s="109"/>
      <c r="V138" s="106">
        <f>U138+T138</f>
        <v>90000</v>
      </c>
      <c r="W138" s="109"/>
      <c r="X138" s="106">
        <f>W138+V138</f>
        <v>90000</v>
      </c>
      <c r="Y138" s="109"/>
      <c r="Z138" s="106">
        <f>Y138+X138</f>
        <v>90000</v>
      </c>
      <c r="AA138" s="109">
        <v>-14000</v>
      </c>
      <c r="AB138" s="106">
        <f>AA138+Z138</f>
        <v>76000</v>
      </c>
      <c r="AC138" s="109"/>
      <c r="AD138" s="106">
        <f>AC138+AB138</f>
        <v>76000</v>
      </c>
      <c r="AE138" s="109"/>
      <c r="AF138" s="106">
        <f>AE138+AD138</f>
        <v>76000</v>
      </c>
      <c r="AG138" s="147"/>
      <c r="AH138" s="106">
        <f>AG138+AF138</f>
        <v>76000</v>
      </c>
      <c r="AI138" s="109"/>
      <c r="AJ138" s="106">
        <f>AI138+AH138</f>
        <v>76000</v>
      </c>
      <c r="AK138" s="109"/>
      <c r="AL138" s="106">
        <f>AK138+AJ138</f>
        <v>76000</v>
      </c>
      <c r="AM138" s="109"/>
      <c r="AN138" s="106">
        <f>AM138+AL138</f>
        <v>76000</v>
      </c>
      <c r="AO138" s="106">
        <v>0</v>
      </c>
      <c r="AP138" s="113">
        <v>0</v>
      </c>
      <c r="AQ138" s="248">
        <v>90000</v>
      </c>
      <c r="AR138" s="277"/>
      <c r="AS138" s="244">
        <f t="shared" si="106"/>
        <v>90000</v>
      </c>
      <c r="AT138" s="158"/>
      <c r="AU138" s="103"/>
      <c r="AV138" s="103"/>
      <c r="AX138" s="125"/>
    </row>
    <row r="139" spans="1:50" ht="12.75" hidden="1">
      <c r="A139" s="31">
        <v>75495</v>
      </c>
      <c r="B139" s="26"/>
      <c r="C139" s="19" t="s">
        <v>13</v>
      </c>
      <c r="D139" s="190">
        <f aca="true" t="shared" si="157" ref="D139:J139">SUM(D140)</f>
        <v>30000</v>
      </c>
      <c r="E139" s="190">
        <f t="shared" si="157"/>
        <v>0</v>
      </c>
      <c r="F139" s="190">
        <f t="shared" si="157"/>
        <v>30000</v>
      </c>
      <c r="G139" s="190">
        <f t="shared" si="157"/>
        <v>0</v>
      </c>
      <c r="H139" s="190">
        <f t="shared" si="157"/>
        <v>30000</v>
      </c>
      <c r="I139" s="190">
        <f t="shared" si="157"/>
        <v>0</v>
      </c>
      <c r="J139" s="190">
        <f t="shared" si="157"/>
        <v>30000</v>
      </c>
      <c r="K139" s="110"/>
      <c r="L139" s="190">
        <f>SUM(L140)</f>
        <v>30000</v>
      </c>
      <c r="M139" s="109"/>
      <c r="N139" s="190">
        <f>SUM(N140)</f>
        <v>30000</v>
      </c>
      <c r="O139" s="190"/>
      <c r="P139" s="190">
        <f>SUM(P140)</f>
        <v>30000</v>
      </c>
      <c r="Q139" s="109"/>
      <c r="R139" s="190">
        <f>SUM(R140)</f>
        <v>30000</v>
      </c>
      <c r="S139" s="109"/>
      <c r="T139" s="190">
        <f>SUM(T140)</f>
        <v>30000</v>
      </c>
      <c r="U139" s="109"/>
      <c r="V139" s="190">
        <f>SUM(V140)</f>
        <v>30000</v>
      </c>
      <c r="W139" s="109"/>
      <c r="X139" s="190">
        <f>SUM(X140)</f>
        <v>30000</v>
      </c>
      <c r="Y139" s="109"/>
      <c r="Z139" s="190">
        <f>SUM(Z140)</f>
        <v>30000</v>
      </c>
      <c r="AA139" s="109"/>
      <c r="AB139" s="190">
        <f>SUM(AB140)</f>
        <v>30000</v>
      </c>
      <c r="AC139" s="109"/>
      <c r="AD139" s="190">
        <f>SUM(AD140)</f>
        <v>30000</v>
      </c>
      <c r="AE139" s="109"/>
      <c r="AF139" s="190">
        <f>SUM(AF140)</f>
        <v>30000</v>
      </c>
      <c r="AG139" s="147"/>
      <c r="AH139" s="190">
        <f>SUM(AH140)</f>
        <v>30000</v>
      </c>
      <c r="AI139" s="109"/>
      <c r="AJ139" s="190">
        <f aca="true" t="shared" si="158" ref="AJ139:AQ139">SUM(AJ140)</f>
        <v>30000</v>
      </c>
      <c r="AK139" s="190">
        <f t="shared" si="158"/>
        <v>3100</v>
      </c>
      <c r="AL139" s="190">
        <f t="shared" si="158"/>
        <v>33100</v>
      </c>
      <c r="AM139" s="190">
        <f t="shared" si="158"/>
        <v>0</v>
      </c>
      <c r="AN139" s="190">
        <f t="shared" si="158"/>
        <v>33100</v>
      </c>
      <c r="AO139" s="190">
        <f t="shared" si="158"/>
        <v>0</v>
      </c>
      <c r="AP139" s="81">
        <f t="shared" si="158"/>
        <v>33100</v>
      </c>
      <c r="AQ139" s="247">
        <f t="shared" si="158"/>
        <v>0</v>
      </c>
      <c r="AR139" s="274"/>
      <c r="AS139" s="244">
        <f t="shared" si="106"/>
        <v>0</v>
      </c>
      <c r="AT139" s="103"/>
      <c r="AU139" s="103"/>
      <c r="AV139" s="103"/>
      <c r="AX139" s="125"/>
    </row>
    <row r="140" spans="1:50" ht="12.75" hidden="1">
      <c r="A140" s="21"/>
      <c r="B140" s="27">
        <v>6050</v>
      </c>
      <c r="C140" s="18" t="s">
        <v>26</v>
      </c>
      <c r="D140" s="104">
        <v>30000</v>
      </c>
      <c r="E140" s="106"/>
      <c r="F140" s="106">
        <f t="shared" si="107"/>
        <v>30000</v>
      </c>
      <c r="G140" s="109"/>
      <c r="H140" s="106">
        <f>G140+F140</f>
        <v>30000</v>
      </c>
      <c r="I140" s="109"/>
      <c r="J140" s="106">
        <f>I140+H140</f>
        <v>30000</v>
      </c>
      <c r="K140" s="110"/>
      <c r="L140" s="106">
        <f>K140+H140</f>
        <v>30000</v>
      </c>
      <c r="M140" s="109"/>
      <c r="N140" s="106">
        <f>M140+L140</f>
        <v>30000</v>
      </c>
      <c r="O140" s="106"/>
      <c r="P140" s="106">
        <f>O140+N140</f>
        <v>30000</v>
      </c>
      <c r="Q140" s="109"/>
      <c r="R140" s="106">
        <f>Q140+P140</f>
        <v>30000</v>
      </c>
      <c r="S140" s="109"/>
      <c r="T140" s="106">
        <f>S140+R140</f>
        <v>30000</v>
      </c>
      <c r="U140" s="109"/>
      <c r="V140" s="106">
        <f>U140+T140</f>
        <v>30000</v>
      </c>
      <c r="W140" s="109"/>
      <c r="X140" s="106">
        <f>W140+V140</f>
        <v>30000</v>
      </c>
      <c r="Y140" s="109"/>
      <c r="Z140" s="106">
        <f>Y140+X140</f>
        <v>30000</v>
      </c>
      <c r="AA140" s="109"/>
      <c r="AB140" s="106">
        <f>AA140+Z140</f>
        <v>30000</v>
      </c>
      <c r="AC140" s="109"/>
      <c r="AD140" s="106">
        <f>AC140+AB140</f>
        <v>30000</v>
      </c>
      <c r="AE140" s="109"/>
      <c r="AF140" s="106">
        <f>AE140+AD140</f>
        <v>30000</v>
      </c>
      <c r="AG140" s="147"/>
      <c r="AH140" s="106">
        <f>AG140+AF140</f>
        <v>30000</v>
      </c>
      <c r="AI140" s="109"/>
      <c r="AJ140" s="106">
        <f>AI140+AH140</f>
        <v>30000</v>
      </c>
      <c r="AK140" s="109">
        <v>3100</v>
      </c>
      <c r="AL140" s="106">
        <f>AK140+AJ140</f>
        <v>33100</v>
      </c>
      <c r="AM140" s="109"/>
      <c r="AN140" s="106">
        <f>AM140+AL140</f>
        <v>33100</v>
      </c>
      <c r="AO140" s="106">
        <v>0</v>
      </c>
      <c r="AP140" s="113">
        <f>AO140+AN140</f>
        <v>33100</v>
      </c>
      <c r="AQ140" s="243">
        <v>0</v>
      </c>
      <c r="AR140" s="275"/>
      <c r="AS140" s="244">
        <f t="shared" si="106"/>
        <v>0</v>
      </c>
      <c r="AT140" s="103"/>
      <c r="AU140" s="103"/>
      <c r="AV140" s="103"/>
      <c r="AX140" s="125"/>
    </row>
    <row r="141" spans="1:50" ht="38.25" hidden="1">
      <c r="A141" s="218">
        <v>756</v>
      </c>
      <c r="B141" s="187"/>
      <c r="C141" s="188" t="s">
        <v>64</v>
      </c>
      <c r="D141" s="189">
        <f aca="true" t="shared" si="159" ref="D141:J141">SUM(D142)</f>
        <v>84200</v>
      </c>
      <c r="E141" s="189">
        <f t="shared" si="159"/>
        <v>0</v>
      </c>
      <c r="F141" s="189">
        <f t="shared" si="159"/>
        <v>84200</v>
      </c>
      <c r="G141" s="189">
        <f t="shared" si="159"/>
        <v>0</v>
      </c>
      <c r="H141" s="189">
        <f t="shared" si="159"/>
        <v>84200</v>
      </c>
      <c r="I141" s="189">
        <f t="shared" si="159"/>
        <v>0</v>
      </c>
      <c r="J141" s="189">
        <f t="shared" si="159"/>
        <v>84200</v>
      </c>
      <c r="K141" s="110"/>
      <c r="L141" s="189">
        <f>SUM(L142)</f>
        <v>84200</v>
      </c>
      <c r="M141" s="109"/>
      <c r="N141" s="189">
        <f>SUM(N142)</f>
        <v>84200</v>
      </c>
      <c r="O141" s="189"/>
      <c r="P141" s="189">
        <f>SUM(P142)</f>
        <v>84200</v>
      </c>
      <c r="Q141" s="109"/>
      <c r="R141" s="189">
        <f>SUM(R142)</f>
        <v>84200</v>
      </c>
      <c r="S141" s="109"/>
      <c r="T141" s="189">
        <f>SUM(T142)</f>
        <v>84200</v>
      </c>
      <c r="U141" s="109"/>
      <c r="V141" s="189">
        <f>SUM(V142)</f>
        <v>84200</v>
      </c>
      <c r="W141" s="109"/>
      <c r="X141" s="189">
        <f>SUM(X142)</f>
        <v>84200</v>
      </c>
      <c r="Y141" s="109"/>
      <c r="Z141" s="189">
        <f aca="true" t="shared" si="160" ref="Z141:AQ141">SUM(Z142)</f>
        <v>84200</v>
      </c>
      <c r="AA141" s="189">
        <f t="shared" si="160"/>
        <v>6000</v>
      </c>
      <c r="AB141" s="189">
        <f t="shared" si="160"/>
        <v>90200</v>
      </c>
      <c r="AC141" s="189">
        <f t="shared" si="160"/>
        <v>0</v>
      </c>
      <c r="AD141" s="189">
        <f t="shared" si="160"/>
        <v>90200</v>
      </c>
      <c r="AE141" s="189">
        <f t="shared" si="160"/>
        <v>0</v>
      </c>
      <c r="AF141" s="189">
        <f t="shared" si="160"/>
        <v>90200</v>
      </c>
      <c r="AG141" s="197">
        <f t="shared" si="160"/>
        <v>0</v>
      </c>
      <c r="AH141" s="189">
        <f t="shared" si="160"/>
        <v>90200</v>
      </c>
      <c r="AI141" s="189">
        <f t="shared" si="160"/>
        <v>0</v>
      </c>
      <c r="AJ141" s="189">
        <f t="shared" si="160"/>
        <v>90200</v>
      </c>
      <c r="AK141" s="189">
        <f t="shared" si="160"/>
        <v>0</v>
      </c>
      <c r="AL141" s="189">
        <f t="shared" si="160"/>
        <v>90200</v>
      </c>
      <c r="AM141" s="189">
        <f t="shared" si="160"/>
        <v>0</v>
      </c>
      <c r="AN141" s="189">
        <f t="shared" si="160"/>
        <v>90200</v>
      </c>
      <c r="AO141" s="189">
        <f t="shared" si="160"/>
        <v>71574</v>
      </c>
      <c r="AP141" s="221">
        <f t="shared" si="160"/>
        <v>54499</v>
      </c>
      <c r="AQ141" s="249">
        <f t="shared" si="160"/>
        <v>91500</v>
      </c>
      <c r="AR141" s="276"/>
      <c r="AS141" s="244">
        <f t="shared" si="106"/>
        <v>91500</v>
      </c>
      <c r="AT141" s="103"/>
      <c r="AU141" s="103"/>
      <c r="AV141" s="103"/>
      <c r="AX141" s="125"/>
    </row>
    <row r="142" spans="1:50" ht="25.5" hidden="1">
      <c r="A142" s="31">
        <v>75647</v>
      </c>
      <c r="B142" s="26"/>
      <c r="C142" s="19" t="s">
        <v>65</v>
      </c>
      <c r="D142" s="190">
        <f aca="true" t="shared" si="161" ref="D142:J142">SUM(D143:D147)</f>
        <v>84200</v>
      </c>
      <c r="E142" s="190">
        <f t="shared" si="161"/>
        <v>0</v>
      </c>
      <c r="F142" s="190">
        <f t="shared" si="161"/>
        <v>84200</v>
      </c>
      <c r="G142" s="190">
        <f t="shared" si="161"/>
        <v>0</v>
      </c>
      <c r="H142" s="190">
        <f t="shared" si="161"/>
        <v>84200</v>
      </c>
      <c r="I142" s="190">
        <f t="shared" si="161"/>
        <v>0</v>
      </c>
      <c r="J142" s="190">
        <f t="shared" si="161"/>
        <v>84200</v>
      </c>
      <c r="K142" s="110"/>
      <c r="L142" s="190">
        <f>SUM(L143:L147)</f>
        <v>84200</v>
      </c>
      <c r="M142" s="109"/>
      <c r="N142" s="190">
        <f>SUM(N143:N147)</f>
        <v>84200</v>
      </c>
      <c r="O142" s="190"/>
      <c r="P142" s="190">
        <f>SUM(P143:P147)</f>
        <v>84200</v>
      </c>
      <c r="Q142" s="109"/>
      <c r="R142" s="190">
        <f>SUM(R143:R147)</f>
        <v>84200</v>
      </c>
      <c r="S142" s="109"/>
      <c r="T142" s="190">
        <f>SUM(T143:T147)</f>
        <v>84200</v>
      </c>
      <c r="U142" s="109"/>
      <c r="V142" s="190">
        <f>SUM(V143:V147)</f>
        <v>84200</v>
      </c>
      <c r="W142" s="109"/>
      <c r="X142" s="190">
        <f>SUM(X143:X147)</f>
        <v>84200</v>
      </c>
      <c r="Y142" s="109"/>
      <c r="Z142" s="190">
        <f aca="true" t="shared" si="162" ref="Z142:AF142">SUM(Z143:Z147)</f>
        <v>84200</v>
      </c>
      <c r="AA142" s="190">
        <f t="shared" si="162"/>
        <v>6000</v>
      </c>
      <c r="AB142" s="190">
        <f t="shared" si="162"/>
        <v>90200</v>
      </c>
      <c r="AC142" s="190">
        <f t="shared" si="162"/>
        <v>0</v>
      </c>
      <c r="AD142" s="190">
        <f t="shared" si="162"/>
        <v>90200</v>
      </c>
      <c r="AE142" s="190">
        <f t="shared" si="162"/>
        <v>0</v>
      </c>
      <c r="AF142" s="190">
        <f t="shared" si="162"/>
        <v>90200</v>
      </c>
      <c r="AG142" s="191">
        <f aca="true" t="shared" si="163" ref="AG142:AL142">SUM(AG143:AG147)</f>
        <v>0</v>
      </c>
      <c r="AH142" s="190">
        <f t="shared" si="163"/>
        <v>90200</v>
      </c>
      <c r="AI142" s="190">
        <f t="shared" si="163"/>
        <v>0</v>
      </c>
      <c r="AJ142" s="190">
        <f t="shared" si="163"/>
        <v>90200</v>
      </c>
      <c r="AK142" s="190">
        <f t="shared" si="163"/>
        <v>0</v>
      </c>
      <c r="AL142" s="190">
        <f t="shared" si="163"/>
        <v>90200</v>
      </c>
      <c r="AM142" s="190">
        <f>SUM(AM143:AM147)</f>
        <v>0</v>
      </c>
      <c r="AN142" s="190">
        <f>SUM(AN143:AN147)</f>
        <v>90200</v>
      </c>
      <c r="AO142" s="190">
        <f>SUM(AO143:AO147)</f>
        <v>71574</v>
      </c>
      <c r="AP142" s="81">
        <f>SUM(AP143:AP147)</f>
        <v>54499</v>
      </c>
      <c r="AQ142" s="247">
        <f>SUM(AQ143:AQ148)</f>
        <v>91500</v>
      </c>
      <c r="AR142" s="274"/>
      <c r="AS142" s="244">
        <f t="shared" si="106"/>
        <v>91500</v>
      </c>
      <c r="AT142" s="103"/>
      <c r="AU142" s="103"/>
      <c r="AV142" s="103"/>
      <c r="AX142" s="125"/>
    </row>
    <row r="143" spans="1:54" ht="12.75" hidden="1">
      <c r="A143" s="21"/>
      <c r="B143" s="27">
        <v>4100</v>
      </c>
      <c r="C143" s="18" t="s">
        <v>66</v>
      </c>
      <c r="D143" s="104">
        <v>75000</v>
      </c>
      <c r="E143" s="106"/>
      <c r="F143" s="106">
        <f t="shared" si="107"/>
        <v>75000</v>
      </c>
      <c r="G143" s="109"/>
      <c r="H143" s="106">
        <f>G143+F143</f>
        <v>75000</v>
      </c>
      <c r="I143" s="109"/>
      <c r="J143" s="106">
        <f>I143+H143</f>
        <v>75000</v>
      </c>
      <c r="K143" s="110"/>
      <c r="L143" s="106">
        <f>K143+H143</f>
        <v>75000</v>
      </c>
      <c r="M143" s="109"/>
      <c r="N143" s="106">
        <f>M143+L143</f>
        <v>75000</v>
      </c>
      <c r="O143" s="106"/>
      <c r="P143" s="106">
        <f>O143+N143</f>
        <v>75000</v>
      </c>
      <c r="Q143" s="109"/>
      <c r="R143" s="106">
        <f>Q143+P143</f>
        <v>75000</v>
      </c>
      <c r="S143" s="109"/>
      <c r="T143" s="106">
        <f>S143+R143</f>
        <v>75000</v>
      </c>
      <c r="U143" s="109"/>
      <c r="V143" s="106">
        <f>U143+T143</f>
        <v>75000</v>
      </c>
      <c r="W143" s="109"/>
      <c r="X143" s="106">
        <f>W143+V143</f>
        <v>75000</v>
      </c>
      <c r="Y143" s="109"/>
      <c r="Z143" s="106">
        <f>Y143+X143</f>
        <v>75000</v>
      </c>
      <c r="AA143" s="109">
        <v>7200</v>
      </c>
      <c r="AB143" s="106">
        <f>AA143+Z143</f>
        <v>82200</v>
      </c>
      <c r="AC143" s="109"/>
      <c r="AD143" s="106">
        <f>AC143+AB143</f>
        <v>82200</v>
      </c>
      <c r="AE143" s="109"/>
      <c r="AF143" s="106">
        <f>AE143+AD143</f>
        <v>82200</v>
      </c>
      <c r="AG143" s="147"/>
      <c r="AH143" s="106">
        <f>AG143+AF143</f>
        <v>82200</v>
      </c>
      <c r="AI143" s="109"/>
      <c r="AJ143" s="106">
        <f>AI143+AH143</f>
        <v>82200</v>
      </c>
      <c r="AK143" s="109"/>
      <c r="AL143" s="106">
        <f>AK143+AJ143</f>
        <v>82200</v>
      </c>
      <c r="AM143" s="109"/>
      <c r="AN143" s="106">
        <f>AM143+AL143</f>
        <v>82200</v>
      </c>
      <c r="AO143" s="106">
        <v>70927</v>
      </c>
      <c r="AP143" s="113">
        <v>53816</v>
      </c>
      <c r="AQ143" s="243">
        <f>44800+43200</f>
        <v>88000</v>
      </c>
      <c r="AR143" s="275"/>
      <c r="AS143" s="244">
        <f t="shared" si="106"/>
        <v>88000</v>
      </c>
      <c r="AT143" s="125" t="s">
        <v>203</v>
      </c>
      <c r="AU143" s="103"/>
      <c r="AV143" s="103"/>
      <c r="AX143" s="125"/>
      <c r="BB143">
        <f>18*2*200</f>
        <v>7200</v>
      </c>
    </row>
    <row r="144" spans="1:50" ht="12.75" hidden="1">
      <c r="A144" s="21"/>
      <c r="B144" s="27">
        <v>4110</v>
      </c>
      <c r="C144" s="18" t="s">
        <v>39</v>
      </c>
      <c r="D144" s="104">
        <v>1000</v>
      </c>
      <c r="E144" s="106"/>
      <c r="F144" s="106">
        <f t="shared" si="107"/>
        <v>1000</v>
      </c>
      <c r="G144" s="109"/>
      <c r="H144" s="106">
        <f>G144+F144</f>
        <v>1000</v>
      </c>
      <c r="I144" s="109"/>
      <c r="J144" s="106">
        <f>I144+H144</f>
        <v>1000</v>
      </c>
      <c r="K144" s="110"/>
      <c r="L144" s="106">
        <f>K144+H144</f>
        <v>1000</v>
      </c>
      <c r="M144" s="109"/>
      <c r="N144" s="106">
        <f>M144+L144</f>
        <v>1000</v>
      </c>
      <c r="O144" s="106"/>
      <c r="P144" s="106">
        <f>O144+N144</f>
        <v>1000</v>
      </c>
      <c r="Q144" s="109"/>
      <c r="R144" s="106">
        <f>Q144+P144</f>
        <v>1000</v>
      </c>
      <c r="S144" s="109"/>
      <c r="T144" s="106">
        <f>S144+R144</f>
        <v>1000</v>
      </c>
      <c r="U144" s="109"/>
      <c r="V144" s="106">
        <f>U144+T144</f>
        <v>1000</v>
      </c>
      <c r="W144" s="109"/>
      <c r="X144" s="106">
        <f>W144+V144</f>
        <v>1000</v>
      </c>
      <c r="Y144" s="109"/>
      <c r="Z144" s="106">
        <f>Y144+X144</f>
        <v>1000</v>
      </c>
      <c r="AA144" s="109">
        <v>-1000</v>
      </c>
      <c r="AB144" s="106">
        <f>AA144+Z144</f>
        <v>0</v>
      </c>
      <c r="AC144" s="109"/>
      <c r="AD144" s="106">
        <f>AC144+AB144</f>
        <v>0</v>
      </c>
      <c r="AE144" s="109"/>
      <c r="AF144" s="106">
        <f>AE144+AD144</f>
        <v>0</v>
      </c>
      <c r="AG144" s="147"/>
      <c r="AH144" s="106">
        <f>AG144+AF144</f>
        <v>0</v>
      </c>
      <c r="AI144" s="109"/>
      <c r="AJ144" s="106">
        <f>AI144+AH144</f>
        <v>0</v>
      </c>
      <c r="AK144" s="109"/>
      <c r="AL144" s="106">
        <f>AK144+AJ144</f>
        <v>0</v>
      </c>
      <c r="AM144" s="109"/>
      <c r="AN144" s="106">
        <f>AM144+AL144</f>
        <v>0</v>
      </c>
      <c r="AO144" s="106">
        <f aca="true" t="shared" si="164" ref="AO144:AQ145">AN144+AM144</f>
        <v>0</v>
      </c>
      <c r="AP144" s="113">
        <f t="shared" si="164"/>
        <v>0</v>
      </c>
      <c r="AQ144" s="243">
        <f t="shared" si="164"/>
        <v>0</v>
      </c>
      <c r="AR144" s="275"/>
      <c r="AS144" s="244">
        <f t="shared" si="106"/>
        <v>0</v>
      </c>
      <c r="AT144" s="103"/>
      <c r="AU144" s="103"/>
      <c r="AV144" s="103"/>
      <c r="AX144" s="125"/>
    </row>
    <row r="145" spans="1:50" ht="12.75" hidden="1">
      <c r="A145" s="21"/>
      <c r="B145" s="27">
        <v>4120</v>
      </c>
      <c r="C145" s="18" t="s">
        <v>40</v>
      </c>
      <c r="D145" s="104">
        <v>200</v>
      </c>
      <c r="E145" s="106"/>
      <c r="F145" s="106">
        <f t="shared" si="107"/>
        <v>200</v>
      </c>
      <c r="G145" s="109"/>
      <c r="H145" s="106">
        <f>G145+F145</f>
        <v>200</v>
      </c>
      <c r="I145" s="109"/>
      <c r="J145" s="106">
        <f>I145+H145</f>
        <v>200</v>
      </c>
      <c r="K145" s="110"/>
      <c r="L145" s="106">
        <f>K145+H145</f>
        <v>200</v>
      </c>
      <c r="M145" s="109"/>
      <c r="N145" s="106">
        <f>M145+L145</f>
        <v>200</v>
      </c>
      <c r="O145" s="106"/>
      <c r="P145" s="106">
        <f>O145+N145</f>
        <v>200</v>
      </c>
      <c r="Q145" s="109"/>
      <c r="R145" s="106">
        <f>Q145+P145</f>
        <v>200</v>
      </c>
      <c r="S145" s="109"/>
      <c r="T145" s="106">
        <f>S145+R145</f>
        <v>200</v>
      </c>
      <c r="U145" s="109"/>
      <c r="V145" s="106">
        <f>U145+T145</f>
        <v>200</v>
      </c>
      <c r="W145" s="109"/>
      <c r="X145" s="106">
        <f>W145+V145</f>
        <v>200</v>
      </c>
      <c r="Y145" s="109"/>
      <c r="Z145" s="106">
        <f>Y145+X145</f>
        <v>200</v>
      </c>
      <c r="AA145" s="109">
        <v>-200</v>
      </c>
      <c r="AB145" s="106">
        <f>AA145+Z145</f>
        <v>0</v>
      </c>
      <c r="AC145" s="109"/>
      <c r="AD145" s="106">
        <f>AC145+AB145</f>
        <v>0</v>
      </c>
      <c r="AE145" s="109"/>
      <c r="AF145" s="106">
        <f>AE145+AD145</f>
        <v>0</v>
      </c>
      <c r="AG145" s="147"/>
      <c r="AH145" s="106">
        <f>AG145+AF145</f>
        <v>0</v>
      </c>
      <c r="AI145" s="109"/>
      <c r="AJ145" s="106">
        <f>AI145+AH145</f>
        <v>0</v>
      </c>
      <c r="AK145" s="109"/>
      <c r="AL145" s="106">
        <f>AK145+AJ145</f>
        <v>0</v>
      </c>
      <c r="AM145" s="109"/>
      <c r="AN145" s="106">
        <f>AM145+AL145</f>
        <v>0</v>
      </c>
      <c r="AO145" s="106">
        <f t="shared" si="164"/>
        <v>0</v>
      </c>
      <c r="AP145" s="113">
        <f t="shared" si="164"/>
        <v>0</v>
      </c>
      <c r="AQ145" s="243">
        <f t="shared" si="164"/>
        <v>0</v>
      </c>
      <c r="AR145" s="275"/>
      <c r="AS145" s="244">
        <f t="shared" si="106"/>
        <v>0</v>
      </c>
      <c r="AT145" s="103"/>
      <c r="AU145" s="103"/>
      <c r="AV145" s="103"/>
      <c r="AX145" s="125"/>
    </row>
    <row r="146" spans="1:50" ht="12.75" hidden="1">
      <c r="A146" s="21"/>
      <c r="B146" s="27">
        <v>4210</v>
      </c>
      <c r="C146" s="18" t="s">
        <v>14</v>
      </c>
      <c r="D146" s="104">
        <v>4000</v>
      </c>
      <c r="E146" s="106"/>
      <c r="F146" s="106">
        <f t="shared" si="107"/>
        <v>4000</v>
      </c>
      <c r="G146" s="109"/>
      <c r="H146" s="106">
        <f>G146+F146</f>
        <v>4000</v>
      </c>
      <c r="I146" s="109"/>
      <c r="J146" s="106">
        <f>I146+H146</f>
        <v>4000</v>
      </c>
      <c r="K146" s="110"/>
      <c r="L146" s="106">
        <f>K146+H146</f>
        <v>4000</v>
      </c>
      <c r="M146" s="109"/>
      <c r="N146" s="106">
        <f>M146+L146</f>
        <v>4000</v>
      </c>
      <c r="O146" s="106"/>
      <c r="P146" s="106">
        <f>O146+N146</f>
        <v>4000</v>
      </c>
      <c r="Q146" s="109"/>
      <c r="R146" s="106">
        <f>Q146+P146</f>
        <v>4000</v>
      </c>
      <c r="S146" s="109"/>
      <c r="T146" s="106">
        <f>S146+R146</f>
        <v>4000</v>
      </c>
      <c r="U146" s="109"/>
      <c r="V146" s="106">
        <f>U146+T146</f>
        <v>4000</v>
      </c>
      <c r="W146" s="109"/>
      <c r="X146" s="106">
        <f>W146+V146</f>
        <v>4000</v>
      </c>
      <c r="Y146" s="109"/>
      <c r="Z146" s="106">
        <f>Y146+X146</f>
        <v>4000</v>
      </c>
      <c r="AA146" s="109"/>
      <c r="AB146" s="106">
        <f>AA146+Z146</f>
        <v>4000</v>
      </c>
      <c r="AC146" s="109"/>
      <c r="AD146" s="106">
        <f>AC146+AB146</f>
        <v>4000</v>
      </c>
      <c r="AE146" s="109"/>
      <c r="AF146" s="106">
        <f>AE146+AD146</f>
        <v>4000</v>
      </c>
      <c r="AG146" s="147"/>
      <c r="AH146" s="106">
        <f>AG146+AF146</f>
        <v>4000</v>
      </c>
      <c r="AI146" s="109"/>
      <c r="AJ146" s="106">
        <f>AI146+AH146</f>
        <v>4000</v>
      </c>
      <c r="AK146" s="109"/>
      <c r="AL146" s="106">
        <f>AK146+AJ146</f>
        <v>4000</v>
      </c>
      <c r="AM146" s="109"/>
      <c r="AN146" s="106">
        <f>AM146+AL146</f>
        <v>4000</v>
      </c>
      <c r="AO146" s="106">
        <v>647</v>
      </c>
      <c r="AP146" s="113">
        <v>683</v>
      </c>
      <c r="AQ146" s="243">
        <v>1500</v>
      </c>
      <c r="AR146" s="275"/>
      <c r="AS146" s="244">
        <f t="shared" si="106"/>
        <v>1500</v>
      </c>
      <c r="AT146" s="103"/>
      <c r="AU146" s="103"/>
      <c r="AV146" s="103"/>
      <c r="AX146" s="125"/>
    </row>
    <row r="147" spans="1:50" ht="12.75" hidden="1">
      <c r="A147" s="21"/>
      <c r="B147" s="27">
        <v>4300</v>
      </c>
      <c r="C147" s="18" t="s">
        <v>15</v>
      </c>
      <c r="D147" s="104">
        <v>4000</v>
      </c>
      <c r="E147" s="106"/>
      <c r="F147" s="106">
        <f t="shared" si="107"/>
        <v>4000</v>
      </c>
      <c r="G147" s="109"/>
      <c r="H147" s="106">
        <f>G147+F147</f>
        <v>4000</v>
      </c>
      <c r="I147" s="109"/>
      <c r="J147" s="106">
        <f>I147+H147</f>
        <v>4000</v>
      </c>
      <c r="K147" s="110"/>
      <c r="L147" s="106">
        <f>K147+H147</f>
        <v>4000</v>
      </c>
      <c r="M147" s="109"/>
      <c r="N147" s="106">
        <f>M147+L147</f>
        <v>4000</v>
      </c>
      <c r="O147" s="106"/>
      <c r="P147" s="106">
        <f>O147+N147</f>
        <v>4000</v>
      </c>
      <c r="Q147" s="109"/>
      <c r="R147" s="106">
        <f>Q147+P147</f>
        <v>4000</v>
      </c>
      <c r="S147" s="109"/>
      <c r="T147" s="106">
        <f>S147+R147</f>
        <v>4000</v>
      </c>
      <c r="U147" s="109"/>
      <c r="V147" s="106">
        <f>U147+T147</f>
        <v>4000</v>
      </c>
      <c r="W147" s="109"/>
      <c r="X147" s="106">
        <f>W147+V147</f>
        <v>4000</v>
      </c>
      <c r="Y147" s="109"/>
      <c r="Z147" s="106">
        <f>Y147+X147</f>
        <v>4000</v>
      </c>
      <c r="AA147" s="109"/>
      <c r="AB147" s="106">
        <f>AA147+Z147</f>
        <v>4000</v>
      </c>
      <c r="AC147" s="109"/>
      <c r="AD147" s="106">
        <f>AC147+AB147</f>
        <v>4000</v>
      </c>
      <c r="AE147" s="109"/>
      <c r="AF147" s="106">
        <f>AE147+AD147</f>
        <v>4000</v>
      </c>
      <c r="AG147" s="147"/>
      <c r="AH147" s="106">
        <f>AG147+AF147</f>
        <v>4000</v>
      </c>
      <c r="AI147" s="109"/>
      <c r="AJ147" s="106">
        <f>AI147+AH147</f>
        <v>4000</v>
      </c>
      <c r="AK147" s="109"/>
      <c r="AL147" s="106">
        <f>AK147+AJ147</f>
        <v>4000</v>
      </c>
      <c r="AM147" s="109"/>
      <c r="AN147" s="106">
        <f>AM147+AL147</f>
        <v>4000</v>
      </c>
      <c r="AO147" s="106">
        <v>0</v>
      </c>
      <c r="AP147" s="113">
        <v>0</v>
      </c>
      <c r="AQ147" s="243">
        <v>1500</v>
      </c>
      <c r="AR147" s="275"/>
      <c r="AS147" s="244">
        <f t="shared" si="106"/>
        <v>1500</v>
      </c>
      <c r="AT147" s="103"/>
      <c r="AU147" s="103"/>
      <c r="AV147" s="103"/>
      <c r="AX147" s="125"/>
    </row>
    <row r="148" spans="1:50" ht="12.75" hidden="1">
      <c r="A148" s="21"/>
      <c r="B148" s="27">
        <v>4610</v>
      </c>
      <c r="C148" s="18" t="s">
        <v>135</v>
      </c>
      <c r="D148" s="104"/>
      <c r="E148" s="106"/>
      <c r="F148" s="106"/>
      <c r="G148" s="109"/>
      <c r="H148" s="106"/>
      <c r="I148" s="109"/>
      <c r="J148" s="106"/>
      <c r="K148" s="110"/>
      <c r="L148" s="106"/>
      <c r="M148" s="109"/>
      <c r="N148" s="106"/>
      <c r="O148" s="106"/>
      <c r="P148" s="106"/>
      <c r="Q148" s="109"/>
      <c r="R148" s="106"/>
      <c r="S148" s="109"/>
      <c r="T148" s="106"/>
      <c r="U148" s="109"/>
      <c r="V148" s="106"/>
      <c r="W148" s="109"/>
      <c r="X148" s="106"/>
      <c r="Y148" s="109"/>
      <c r="Z148" s="106"/>
      <c r="AA148" s="109"/>
      <c r="AB148" s="106"/>
      <c r="AC148" s="109"/>
      <c r="AD148" s="106"/>
      <c r="AE148" s="109"/>
      <c r="AF148" s="106"/>
      <c r="AG148" s="147"/>
      <c r="AH148" s="106"/>
      <c r="AI148" s="109"/>
      <c r="AJ148" s="106"/>
      <c r="AK148" s="109"/>
      <c r="AL148" s="106"/>
      <c r="AM148" s="109"/>
      <c r="AN148" s="106"/>
      <c r="AO148" s="106"/>
      <c r="AP148" s="113"/>
      <c r="AQ148" s="243">
        <v>500</v>
      </c>
      <c r="AR148" s="275"/>
      <c r="AS148" s="244">
        <f t="shared" si="106"/>
        <v>500</v>
      </c>
      <c r="AT148" s="103"/>
      <c r="AU148" s="103"/>
      <c r="AV148" s="103"/>
      <c r="AX148" s="125"/>
    </row>
    <row r="149" spans="1:50" ht="12.75" hidden="1">
      <c r="A149" s="218">
        <v>757</v>
      </c>
      <c r="B149" s="187"/>
      <c r="C149" s="188" t="s">
        <v>67</v>
      </c>
      <c r="D149" s="189">
        <f aca="true" t="shared" si="165" ref="D149:AQ149">D153+D150</f>
        <v>219643</v>
      </c>
      <c r="E149" s="189">
        <f t="shared" si="165"/>
        <v>0</v>
      </c>
      <c r="F149" s="189">
        <f t="shared" si="165"/>
        <v>219643</v>
      </c>
      <c r="G149" s="189">
        <f t="shared" si="165"/>
        <v>0</v>
      </c>
      <c r="H149" s="189">
        <f t="shared" si="165"/>
        <v>219643</v>
      </c>
      <c r="I149" s="189">
        <f t="shared" si="165"/>
        <v>0</v>
      </c>
      <c r="J149" s="189">
        <f t="shared" si="165"/>
        <v>219643</v>
      </c>
      <c r="K149" s="189">
        <f t="shared" si="165"/>
        <v>0</v>
      </c>
      <c r="L149" s="189">
        <f t="shared" si="165"/>
        <v>219643</v>
      </c>
      <c r="M149" s="189">
        <f t="shared" si="165"/>
        <v>0</v>
      </c>
      <c r="N149" s="189">
        <f t="shared" si="165"/>
        <v>219643</v>
      </c>
      <c r="O149" s="189">
        <f t="shared" si="165"/>
        <v>0</v>
      </c>
      <c r="P149" s="189">
        <f t="shared" si="165"/>
        <v>219643</v>
      </c>
      <c r="Q149" s="189">
        <f t="shared" si="165"/>
        <v>0</v>
      </c>
      <c r="R149" s="189">
        <f t="shared" si="165"/>
        <v>219643</v>
      </c>
      <c r="S149" s="189">
        <f t="shared" si="165"/>
        <v>0</v>
      </c>
      <c r="T149" s="189">
        <f t="shared" si="165"/>
        <v>219643</v>
      </c>
      <c r="U149" s="189">
        <f t="shared" si="165"/>
        <v>0</v>
      </c>
      <c r="V149" s="189">
        <f t="shared" si="165"/>
        <v>219643</v>
      </c>
      <c r="W149" s="189">
        <f t="shared" si="165"/>
        <v>0</v>
      </c>
      <c r="X149" s="189">
        <f t="shared" si="165"/>
        <v>219643</v>
      </c>
      <c r="Y149" s="189">
        <f t="shared" si="165"/>
        <v>0</v>
      </c>
      <c r="Z149" s="189">
        <f t="shared" si="165"/>
        <v>219643</v>
      </c>
      <c r="AA149" s="189">
        <f t="shared" si="165"/>
        <v>1199</v>
      </c>
      <c r="AB149" s="189">
        <f t="shared" si="165"/>
        <v>220842</v>
      </c>
      <c r="AC149" s="189">
        <f t="shared" si="165"/>
        <v>0</v>
      </c>
      <c r="AD149" s="189">
        <f t="shared" si="165"/>
        <v>220842</v>
      </c>
      <c r="AE149" s="189">
        <f t="shared" si="165"/>
        <v>0</v>
      </c>
      <c r="AF149" s="189">
        <f t="shared" si="165"/>
        <v>220842</v>
      </c>
      <c r="AG149" s="189">
        <f t="shared" si="165"/>
        <v>0</v>
      </c>
      <c r="AH149" s="189">
        <f t="shared" si="165"/>
        <v>220842</v>
      </c>
      <c r="AI149" s="189">
        <f t="shared" si="165"/>
        <v>0</v>
      </c>
      <c r="AJ149" s="189">
        <f t="shared" si="165"/>
        <v>220842</v>
      </c>
      <c r="AK149" s="189">
        <f t="shared" si="165"/>
        <v>0</v>
      </c>
      <c r="AL149" s="189">
        <f t="shared" si="165"/>
        <v>220842</v>
      </c>
      <c r="AM149" s="189">
        <f t="shared" si="165"/>
        <v>0</v>
      </c>
      <c r="AN149" s="189">
        <f t="shared" si="165"/>
        <v>220842</v>
      </c>
      <c r="AO149" s="189">
        <f t="shared" si="165"/>
        <v>157694</v>
      </c>
      <c r="AP149" s="221">
        <f t="shared" si="165"/>
        <v>108254.4</v>
      </c>
      <c r="AQ149" s="249">
        <f t="shared" si="165"/>
        <v>340842</v>
      </c>
      <c r="AR149" s="276"/>
      <c r="AS149" s="244">
        <f t="shared" si="106"/>
        <v>340842</v>
      </c>
      <c r="AT149" s="103"/>
      <c r="AU149" s="103"/>
      <c r="AV149" s="103"/>
      <c r="AX149" s="125"/>
    </row>
    <row r="150" spans="1:50" ht="25.5" hidden="1">
      <c r="A150" s="31">
        <v>75702</v>
      </c>
      <c r="B150" s="26"/>
      <c r="C150" s="19" t="s">
        <v>68</v>
      </c>
      <c r="D150" s="190">
        <f aca="true" t="shared" si="166" ref="D150:AM150">SUM(D151:D152)</f>
        <v>200000</v>
      </c>
      <c r="E150" s="190">
        <f t="shared" si="166"/>
        <v>0</v>
      </c>
      <c r="F150" s="190">
        <f t="shared" si="166"/>
        <v>200000</v>
      </c>
      <c r="G150" s="190">
        <f t="shared" si="166"/>
        <v>0</v>
      </c>
      <c r="H150" s="190">
        <f t="shared" si="166"/>
        <v>200000</v>
      </c>
      <c r="I150" s="190">
        <f t="shared" si="166"/>
        <v>0</v>
      </c>
      <c r="J150" s="190">
        <f t="shared" si="166"/>
        <v>200000</v>
      </c>
      <c r="K150" s="190">
        <f t="shared" si="166"/>
        <v>0</v>
      </c>
      <c r="L150" s="190">
        <f t="shared" si="166"/>
        <v>200000</v>
      </c>
      <c r="M150" s="190">
        <f t="shared" si="166"/>
        <v>0</v>
      </c>
      <c r="N150" s="190">
        <f t="shared" si="166"/>
        <v>200000</v>
      </c>
      <c r="O150" s="190">
        <f t="shared" si="166"/>
        <v>0</v>
      </c>
      <c r="P150" s="190">
        <f t="shared" si="166"/>
        <v>200000</v>
      </c>
      <c r="Q150" s="190">
        <f t="shared" si="166"/>
        <v>0</v>
      </c>
      <c r="R150" s="190">
        <f t="shared" si="166"/>
        <v>200000</v>
      </c>
      <c r="S150" s="190">
        <f t="shared" si="166"/>
        <v>0</v>
      </c>
      <c r="T150" s="190">
        <f t="shared" si="166"/>
        <v>200000</v>
      </c>
      <c r="U150" s="190">
        <f t="shared" si="166"/>
        <v>0</v>
      </c>
      <c r="V150" s="190">
        <f t="shared" si="166"/>
        <v>200000</v>
      </c>
      <c r="W150" s="190">
        <f t="shared" si="166"/>
        <v>0</v>
      </c>
      <c r="X150" s="190">
        <f t="shared" si="166"/>
        <v>200000</v>
      </c>
      <c r="Y150" s="190">
        <f t="shared" si="166"/>
        <v>0</v>
      </c>
      <c r="Z150" s="190">
        <f t="shared" si="166"/>
        <v>200000</v>
      </c>
      <c r="AA150" s="190">
        <f t="shared" si="166"/>
        <v>0</v>
      </c>
      <c r="AB150" s="190">
        <f t="shared" si="166"/>
        <v>200000</v>
      </c>
      <c r="AC150" s="190">
        <f t="shared" si="166"/>
        <v>0</v>
      </c>
      <c r="AD150" s="190">
        <f t="shared" si="166"/>
        <v>200000</v>
      </c>
      <c r="AE150" s="190">
        <f t="shared" si="166"/>
        <v>0</v>
      </c>
      <c r="AF150" s="190">
        <f t="shared" si="166"/>
        <v>200000</v>
      </c>
      <c r="AG150" s="190">
        <f t="shared" si="166"/>
        <v>0</v>
      </c>
      <c r="AH150" s="190">
        <f t="shared" si="166"/>
        <v>200000</v>
      </c>
      <c r="AI150" s="190">
        <f t="shared" si="166"/>
        <v>0</v>
      </c>
      <c r="AJ150" s="190">
        <f t="shared" si="166"/>
        <v>200000</v>
      </c>
      <c r="AK150" s="190">
        <f t="shared" si="166"/>
        <v>0</v>
      </c>
      <c r="AL150" s="190">
        <f t="shared" si="166"/>
        <v>200000</v>
      </c>
      <c r="AM150" s="190">
        <f t="shared" si="166"/>
        <v>0</v>
      </c>
      <c r="AN150" s="190">
        <f>SUM(AN151:AN152)</f>
        <v>200000</v>
      </c>
      <c r="AO150" s="190">
        <f>SUM(AO151:AO152)</f>
        <v>157694</v>
      </c>
      <c r="AP150" s="81">
        <f>SUM(AP151:AP152)</f>
        <v>108254.4</v>
      </c>
      <c r="AQ150" s="247">
        <f>SUM(AQ151:AQ152)</f>
        <v>320000</v>
      </c>
      <c r="AR150" s="274"/>
      <c r="AS150" s="244">
        <f aca="true" t="shared" si="167" ref="AS150:AS214">AR150+AQ150</f>
        <v>320000</v>
      </c>
      <c r="AT150" s="103"/>
      <c r="AU150" s="103"/>
      <c r="AV150" s="103"/>
      <c r="AX150" s="125"/>
    </row>
    <row r="151" spans="1:50" ht="12.75" hidden="1">
      <c r="A151" s="31"/>
      <c r="B151" s="27">
        <v>8010</v>
      </c>
      <c r="C151" s="18" t="s">
        <v>176</v>
      </c>
      <c r="D151" s="190"/>
      <c r="E151" s="190"/>
      <c r="F151" s="190"/>
      <c r="G151" s="190"/>
      <c r="H151" s="190"/>
      <c r="I151" s="190"/>
      <c r="J151" s="190"/>
      <c r="K151" s="110"/>
      <c r="L151" s="190"/>
      <c r="M151" s="109"/>
      <c r="N151" s="190"/>
      <c r="O151" s="190"/>
      <c r="P151" s="190"/>
      <c r="Q151" s="109"/>
      <c r="R151" s="190"/>
      <c r="S151" s="109"/>
      <c r="T151" s="190"/>
      <c r="U151" s="109"/>
      <c r="V151" s="190"/>
      <c r="W151" s="109"/>
      <c r="X151" s="190"/>
      <c r="Y151" s="109"/>
      <c r="Z151" s="190"/>
      <c r="AA151" s="190"/>
      <c r="AB151" s="190"/>
      <c r="AC151" s="190"/>
      <c r="AD151" s="190"/>
      <c r="AE151" s="109">
        <v>25000</v>
      </c>
      <c r="AF151" s="106">
        <f>AE151+AD151</f>
        <v>25000</v>
      </c>
      <c r="AG151" s="147"/>
      <c r="AH151" s="106">
        <f>AG151+AF151</f>
        <v>25000</v>
      </c>
      <c r="AI151" s="109"/>
      <c r="AJ151" s="106">
        <f>AI151+AH151</f>
        <v>25000</v>
      </c>
      <c r="AK151" s="109"/>
      <c r="AL151" s="106">
        <f>AK151+AJ151</f>
        <v>25000</v>
      </c>
      <c r="AM151" s="109"/>
      <c r="AN151" s="106">
        <f>AM151+AL151</f>
        <v>25000</v>
      </c>
      <c r="AO151" s="106">
        <v>0</v>
      </c>
      <c r="AP151" s="113">
        <f>AO151+AN151</f>
        <v>25000</v>
      </c>
      <c r="AQ151" s="243">
        <v>16000</v>
      </c>
      <c r="AR151" s="275"/>
      <c r="AS151" s="244">
        <f t="shared" si="167"/>
        <v>16000</v>
      </c>
      <c r="AT151" s="158"/>
      <c r="AU151" s="103"/>
      <c r="AV151" s="103"/>
      <c r="AX151" s="125"/>
    </row>
    <row r="152" spans="1:50" ht="38.25" hidden="1">
      <c r="A152" s="21"/>
      <c r="B152" s="27">
        <v>8110</v>
      </c>
      <c r="C152" s="18" t="s">
        <v>218</v>
      </c>
      <c r="D152" s="104">
        <v>200000</v>
      </c>
      <c r="E152" s="106"/>
      <c r="F152" s="106">
        <f t="shared" si="107"/>
        <v>200000</v>
      </c>
      <c r="G152" s="109"/>
      <c r="H152" s="106">
        <f>G152+F152</f>
        <v>200000</v>
      </c>
      <c r="I152" s="109"/>
      <c r="J152" s="106">
        <f>I152+H152</f>
        <v>200000</v>
      </c>
      <c r="K152" s="110"/>
      <c r="L152" s="106">
        <f>K152+H152</f>
        <v>200000</v>
      </c>
      <c r="M152" s="109"/>
      <c r="N152" s="106">
        <f>M152+L152</f>
        <v>200000</v>
      </c>
      <c r="O152" s="106"/>
      <c r="P152" s="106">
        <f>O152+N152</f>
        <v>200000</v>
      </c>
      <c r="Q152" s="109"/>
      <c r="R152" s="106">
        <f>Q152+P152</f>
        <v>200000</v>
      </c>
      <c r="S152" s="109"/>
      <c r="T152" s="106">
        <f>S152+R152</f>
        <v>200000</v>
      </c>
      <c r="U152" s="109"/>
      <c r="V152" s="106">
        <f>U152+T152</f>
        <v>200000</v>
      </c>
      <c r="W152" s="109"/>
      <c r="X152" s="106">
        <f>W152+V152</f>
        <v>200000</v>
      </c>
      <c r="Y152" s="109"/>
      <c r="Z152" s="106">
        <f>Y152+X152</f>
        <v>200000</v>
      </c>
      <c r="AA152" s="109"/>
      <c r="AB152" s="106">
        <f>AA152+Z152</f>
        <v>200000</v>
      </c>
      <c r="AC152" s="109"/>
      <c r="AD152" s="106">
        <f>AC152+AB152</f>
        <v>200000</v>
      </c>
      <c r="AE152" s="109">
        <v>-25000</v>
      </c>
      <c r="AF152" s="106">
        <f>AE152+AD152</f>
        <v>175000</v>
      </c>
      <c r="AG152" s="147"/>
      <c r="AH152" s="106">
        <f>AG152+AF152</f>
        <v>175000</v>
      </c>
      <c r="AI152" s="109"/>
      <c r="AJ152" s="106">
        <f>AI152+AH152</f>
        <v>175000</v>
      </c>
      <c r="AK152" s="109"/>
      <c r="AL152" s="106">
        <f>AK152+AJ152</f>
        <v>175000</v>
      </c>
      <c r="AM152" s="109"/>
      <c r="AN152" s="106">
        <f>AM152+AL152</f>
        <v>175000</v>
      </c>
      <c r="AO152" s="106">
        <v>157694</v>
      </c>
      <c r="AP152" s="113">
        <f>82890+0.4+25+339</f>
        <v>83254.4</v>
      </c>
      <c r="AQ152" s="248">
        <v>304000</v>
      </c>
      <c r="AR152" s="277"/>
      <c r="AS152" s="244">
        <f t="shared" si="167"/>
        <v>304000</v>
      </c>
      <c r="AT152" s="157" t="s">
        <v>199</v>
      </c>
      <c r="AU152" s="103"/>
      <c r="AV152" s="103"/>
      <c r="AX152" s="125"/>
    </row>
    <row r="153" spans="1:50" ht="27.75" customHeight="1" hidden="1">
      <c r="A153" s="31">
        <v>75704</v>
      </c>
      <c r="B153" s="26"/>
      <c r="C153" s="19" t="s">
        <v>138</v>
      </c>
      <c r="D153" s="190">
        <f aca="true" t="shared" si="168" ref="D153:J153">SUM(D154:D154)</f>
        <v>19643</v>
      </c>
      <c r="E153" s="190">
        <f t="shared" si="168"/>
        <v>0</v>
      </c>
      <c r="F153" s="190">
        <f t="shared" si="168"/>
        <v>19643</v>
      </c>
      <c r="G153" s="190">
        <f t="shared" si="168"/>
        <v>0</v>
      </c>
      <c r="H153" s="190">
        <f t="shared" si="168"/>
        <v>19643</v>
      </c>
      <c r="I153" s="190">
        <f t="shared" si="168"/>
        <v>0</v>
      </c>
      <c r="J153" s="190">
        <f t="shared" si="168"/>
        <v>19643</v>
      </c>
      <c r="K153" s="110"/>
      <c r="L153" s="190">
        <f>SUM(L154:L154)</f>
        <v>19643</v>
      </c>
      <c r="M153" s="109"/>
      <c r="N153" s="190">
        <f>SUM(N154:N154)</f>
        <v>19643</v>
      </c>
      <c r="O153" s="190"/>
      <c r="P153" s="190">
        <f>SUM(P154:P154)</f>
        <v>19643</v>
      </c>
      <c r="Q153" s="109"/>
      <c r="R153" s="190">
        <f>SUM(R154:R154)</f>
        <v>19643</v>
      </c>
      <c r="S153" s="109"/>
      <c r="T153" s="190">
        <f>SUM(T154:T154)</f>
        <v>19643</v>
      </c>
      <c r="U153" s="109"/>
      <c r="V153" s="190">
        <f>SUM(V154:V154)</f>
        <v>19643</v>
      </c>
      <c r="W153" s="109"/>
      <c r="X153" s="190">
        <f>SUM(X154:X154)</f>
        <v>19643</v>
      </c>
      <c r="Y153" s="109"/>
      <c r="Z153" s="190">
        <f aca="true" t="shared" si="169" ref="Z153:AQ153">SUM(Z154:Z154)</f>
        <v>19643</v>
      </c>
      <c r="AA153" s="190">
        <f t="shared" si="169"/>
        <v>1199</v>
      </c>
      <c r="AB153" s="190">
        <f t="shared" si="169"/>
        <v>20842</v>
      </c>
      <c r="AC153" s="190">
        <f t="shared" si="169"/>
        <v>0</v>
      </c>
      <c r="AD153" s="190">
        <f t="shared" si="169"/>
        <v>20842</v>
      </c>
      <c r="AE153" s="190">
        <f t="shared" si="169"/>
        <v>0</v>
      </c>
      <c r="AF153" s="190">
        <f t="shared" si="169"/>
        <v>20842</v>
      </c>
      <c r="AG153" s="191">
        <f t="shared" si="169"/>
        <v>0</v>
      </c>
      <c r="AH153" s="190">
        <f t="shared" si="169"/>
        <v>20842</v>
      </c>
      <c r="AI153" s="190">
        <f t="shared" si="169"/>
        <v>0</v>
      </c>
      <c r="AJ153" s="190">
        <f t="shared" si="169"/>
        <v>20842</v>
      </c>
      <c r="AK153" s="190">
        <f t="shared" si="169"/>
        <v>0</v>
      </c>
      <c r="AL153" s="190">
        <f t="shared" si="169"/>
        <v>20842</v>
      </c>
      <c r="AM153" s="190">
        <f t="shared" si="169"/>
        <v>0</v>
      </c>
      <c r="AN153" s="190">
        <f t="shared" si="169"/>
        <v>20842</v>
      </c>
      <c r="AO153" s="190">
        <f t="shared" si="169"/>
        <v>0</v>
      </c>
      <c r="AP153" s="81">
        <f t="shared" si="169"/>
        <v>0</v>
      </c>
      <c r="AQ153" s="247">
        <f t="shared" si="169"/>
        <v>20842</v>
      </c>
      <c r="AR153" s="274"/>
      <c r="AS153" s="244">
        <f t="shared" si="167"/>
        <v>20842</v>
      </c>
      <c r="AT153" s="103"/>
      <c r="AU153" s="103"/>
      <c r="AV153" s="103"/>
      <c r="AX153" s="125"/>
    </row>
    <row r="154" spans="1:50" ht="12.75" hidden="1">
      <c r="A154" s="21"/>
      <c r="B154" s="27">
        <v>8020</v>
      </c>
      <c r="C154" s="18" t="s">
        <v>137</v>
      </c>
      <c r="D154" s="104">
        <v>19643</v>
      </c>
      <c r="E154" s="106"/>
      <c r="F154" s="106">
        <f t="shared" si="107"/>
        <v>19643</v>
      </c>
      <c r="G154" s="109"/>
      <c r="H154" s="106">
        <f>G154+F154</f>
        <v>19643</v>
      </c>
      <c r="I154" s="109"/>
      <c r="J154" s="106">
        <f>I154+H154</f>
        <v>19643</v>
      </c>
      <c r="K154" s="110"/>
      <c r="L154" s="106">
        <f>K154+H154</f>
        <v>19643</v>
      </c>
      <c r="M154" s="109"/>
      <c r="N154" s="106">
        <f>M154+L154</f>
        <v>19643</v>
      </c>
      <c r="O154" s="106"/>
      <c r="P154" s="106">
        <f>O154+N154</f>
        <v>19643</v>
      </c>
      <c r="Q154" s="109"/>
      <c r="R154" s="106">
        <f>Q154+P154</f>
        <v>19643</v>
      </c>
      <c r="S154" s="109"/>
      <c r="T154" s="106">
        <f>S154+R154</f>
        <v>19643</v>
      </c>
      <c r="U154" s="109"/>
      <c r="V154" s="106">
        <f>U154+T154</f>
        <v>19643</v>
      </c>
      <c r="W154" s="109"/>
      <c r="X154" s="106">
        <f>W154+V154</f>
        <v>19643</v>
      </c>
      <c r="Y154" s="109"/>
      <c r="Z154" s="106">
        <f>Y154+X154</f>
        <v>19643</v>
      </c>
      <c r="AA154" s="109">
        <v>1199</v>
      </c>
      <c r="AB154" s="106">
        <f>AA154+Z154</f>
        <v>20842</v>
      </c>
      <c r="AC154" s="109"/>
      <c r="AD154" s="106">
        <f>AC154+AB154</f>
        <v>20842</v>
      </c>
      <c r="AE154" s="109"/>
      <c r="AF154" s="106">
        <f>AE154+AD154</f>
        <v>20842</v>
      </c>
      <c r="AG154" s="147"/>
      <c r="AH154" s="106">
        <f>AG154+AF154</f>
        <v>20842</v>
      </c>
      <c r="AI154" s="109"/>
      <c r="AJ154" s="106">
        <f>AI154+AH154</f>
        <v>20842</v>
      </c>
      <c r="AK154" s="109"/>
      <c r="AL154" s="106">
        <f>AK154+AJ154</f>
        <v>20842</v>
      </c>
      <c r="AM154" s="109"/>
      <c r="AN154" s="106">
        <f>AM154+AL154</f>
        <v>20842</v>
      </c>
      <c r="AO154" s="106">
        <v>0</v>
      </c>
      <c r="AP154" s="113">
        <v>0</v>
      </c>
      <c r="AQ154" s="243">
        <v>20842</v>
      </c>
      <c r="AR154" s="275"/>
      <c r="AS154" s="244">
        <f t="shared" si="167"/>
        <v>20842</v>
      </c>
      <c r="AT154" s="103"/>
      <c r="AU154" s="103"/>
      <c r="AV154" s="103"/>
      <c r="AX154" s="125"/>
    </row>
    <row r="155" spans="1:50" ht="12.75" hidden="1">
      <c r="A155" s="218">
        <v>758</v>
      </c>
      <c r="B155" s="187"/>
      <c r="C155" s="188" t="s">
        <v>70</v>
      </c>
      <c r="D155" s="189">
        <f>SUM(D156)</f>
        <v>90000</v>
      </c>
      <c r="E155" s="189">
        <f aca="true" t="shared" si="170" ref="E155:AM156">SUM(E156)</f>
        <v>0</v>
      </c>
      <c r="F155" s="189">
        <f t="shared" si="170"/>
        <v>90000</v>
      </c>
      <c r="G155" s="189">
        <f t="shared" si="170"/>
        <v>0</v>
      </c>
      <c r="H155" s="189">
        <f t="shared" si="170"/>
        <v>90000</v>
      </c>
      <c r="I155" s="189">
        <f t="shared" si="170"/>
        <v>0</v>
      </c>
      <c r="J155" s="189">
        <f t="shared" si="170"/>
        <v>90000</v>
      </c>
      <c r="K155" s="110"/>
      <c r="L155" s="189">
        <f t="shared" si="170"/>
        <v>90000</v>
      </c>
      <c r="M155" s="109"/>
      <c r="N155" s="189">
        <f t="shared" si="170"/>
        <v>90000</v>
      </c>
      <c r="O155" s="189"/>
      <c r="P155" s="189">
        <f t="shared" si="170"/>
        <v>90000</v>
      </c>
      <c r="Q155" s="109"/>
      <c r="R155" s="189">
        <f t="shared" si="170"/>
        <v>90000</v>
      </c>
      <c r="S155" s="109"/>
      <c r="T155" s="189">
        <f t="shared" si="170"/>
        <v>90000</v>
      </c>
      <c r="U155" s="109"/>
      <c r="V155" s="189">
        <f t="shared" si="170"/>
        <v>90000</v>
      </c>
      <c r="W155" s="109"/>
      <c r="X155" s="189">
        <f t="shared" si="170"/>
        <v>90000</v>
      </c>
      <c r="Y155" s="109"/>
      <c r="Z155" s="189">
        <f t="shared" si="170"/>
        <v>90000</v>
      </c>
      <c r="AA155" s="189">
        <f t="shared" si="170"/>
        <v>-13500</v>
      </c>
      <c r="AB155" s="189">
        <f t="shared" si="170"/>
        <v>76500</v>
      </c>
      <c r="AC155" s="189">
        <f t="shared" si="170"/>
        <v>0</v>
      </c>
      <c r="AD155" s="189">
        <f>SUM(AD156)</f>
        <v>76500</v>
      </c>
      <c r="AE155" s="189">
        <f t="shared" si="170"/>
        <v>0</v>
      </c>
      <c r="AF155" s="189">
        <f>SUM(AF156)</f>
        <v>76500</v>
      </c>
      <c r="AG155" s="197">
        <f t="shared" si="170"/>
        <v>0</v>
      </c>
      <c r="AH155" s="189">
        <f>SUM(AH156)</f>
        <v>76500</v>
      </c>
      <c r="AI155" s="189">
        <f t="shared" si="170"/>
        <v>0</v>
      </c>
      <c r="AJ155" s="189">
        <f>SUM(AJ156)</f>
        <v>76500</v>
      </c>
      <c r="AK155" s="189">
        <f t="shared" si="170"/>
        <v>0</v>
      </c>
      <c r="AL155" s="189">
        <f>SUM(AL156)</f>
        <v>76500</v>
      </c>
      <c r="AM155" s="189">
        <f t="shared" si="170"/>
        <v>-36431</v>
      </c>
      <c r="AN155" s="189">
        <f aca="true" t="shared" si="171" ref="AN155:AQ156">SUM(AN156)</f>
        <v>40069</v>
      </c>
      <c r="AO155" s="189">
        <f t="shared" si="171"/>
        <v>0</v>
      </c>
      <c r="AP155" s="221">
        <f t="shared" si="171"/>
        <v>0</v>
      </c>
      <c r="AQ155" s="249">
        <f t="shared" si="171"/>
        <v>513670</v>
      </c>
      <c r="AR155" s="276"/>
      <c r="AS155" s="244">
        <f t="shared" si="167"/>
        <v>513670</v>
      </c>
      <c r="AT155" s="103"/>
      <c r="AU155" s="103"/>
      <c r="AV155" s="103"/>
      <c r="AX155" s="125"/>
    </row>
    <row r="156" spans="1:50" ht="12.75" hidden="1">
      <c r="A156" s="31">
        <v>75818</v>
      </c>
      <c r="B156" s="26"/>
      <c r="C156" s="19" t="s">
        <v>63</v>
      </c>
      <c r="D156" s="190">
        <f>SUM(D157)</f>
        <v>90000</v>
      </c>
      <c r="E156" s="190">
        <f t="shared" si="170"/>
        <v>0</v>
      </c>
      <c r="F156" s="190">
        <f t="shared" si="170"/>
        <v>90000</v>
      </c>
      <c r="G156" s="190">
        <f t="shared" si="170"/>
        <v>0</v>
      </c>
      <c r="H156" s="190">
        <f t="shared" si="170"/>
        <v>90000</v>
      </c>
      <c r="I156" s="190">
        <f t="shared" si="170"/>
        <v>0</v>
      </c>
      <c r="J156" s="190">
        <f t="shared" si="170"/>
        <v>90000</v>
      </c>
      <c r="K156" s="110"/>
      <c r="L156" s="190">
        <f t="shared" si="170"/>
        <v>90000</v>
      </c>
      <c r="M156" s="109"/>
      <c r="N156" s="190">
        <f t="shared" si="170"/>
        <v>90000</v>
      </c>
      <c r="O156" s="190"/>
      <c r="P156" s="190">
        <f t="shared" si="170"/>
        <v>90000</v>
      </c>
      <c r="Q156" s="109"/>
      <c r="R156" s="190">
        <f t="shared" si="170"/>
        <v>90000</v>
      </c>
      <c r="S156" s="109"/>
      <c r="T156" s="190">
        <f t="shared" si="170"/>
        <v>90000</v>
      </c>
      <c r="U156" s="109"/>
      <c r="V156" s="190">
        <f t="shared" si="170"/>
        <v>90000</v>
      </c>
      <c r="W156" s="109"/>
      <c r="X156" s="190">
        <f t="shared" si="170"/>
        <v>90000</v>
      </c>
      <c r="Y156" s="109"/>
      <c r="Z156" s="190">
        <f t="shared" si="170"/>
        <v>90000</v>
      </c>
      <c r="AA156" s="190">
        <f t="shared" si="170"/>
        <v>-13500</v>
      </c>
      <c r="AB156" s="190">
        <f t="shared" si="170"/>
        <v>76500</v>
      </c>
      <c r="AC156" s="190">
        <f>SUM(AC157)</f>
        <v>0</v>
      </c>
      <c r="AD156" s="190">
        <f>SUM(AD157)</f>
        <v>76500</v>
      </c>
      <c r="AE156" s="190">
        <f>SUM(AE157)</f>
        <v>0</v>
      </c>
      <c r="AF156" s="190">
        <f>SUM(AF157)</f>
        <v>76500</v>
      </c>
      <c r="AG156" s="191">
        <f>SUM(AG157)</f>
        <v>0</v>
      </c>
      <c r="AH156" s="190">
        <f>SUM(AH157)</f>
        <v>76500</v>
      </c>
      <c r="AI156" s="190">
        <f>SUM(AI157)</f>
        <v>0</v>
      </c>
      <c r="AJ156" s="190">
        <f>SUM(AJ157)</f>
        <v>76500</v>
      </c>
      <c r="AK156" s="190">
        <f>SUM(AK157)</f>
        <v>0</v>
      </c>
      <c r="AL156" s="190">
        <f>SUM(AL157)</f>
        <v>76500</v>
      </c>
      <c r="AM156" s="190">
        <f>SUM(AM157)</f>
        <v>-36431</v>
      </c>
      <c r="AN156" s="190">
        <f t="shared" si="171"/>
        <v>40069</v>
      </c>
      <c r="AO156" s="190">
        <f t="shared" si="171"/>
        <v>0</v>
      </c>
      <c r="AP156" s="81">
        <f t="shared" si="171"/>
        <v>0</v>
      </c>
      <c r="AQ156" s="247">
        <f t="shared" si="171"/>
        <v>513670</v>
      </c>
      <c r="AR156" s="274"/>
      <c r="AS156" s="244">
        <f t="shared" si="167"/>
        <v>513670</v>
      </c>
      <c r="AT156" s="103"/>
      <c r="AU156" s="103"/>
      <c r="AV156" s="103"/>
      <c r="AX156" s="125"/>
    </row>
    <row r="157" spans="1:50" ht="12.75" hidden="1">
      <c r="A157" s="21"/>
      <c r="B157" s="27">
        <v>4810</v>
      </c>
      <c r="C157" s="18" t="s">
        <v>133</v>
      </c>
      <c r="D157" s="104">
        <v>90000</v>
      </c>
      <c r="E157" s="106"/>
      <c r="F157" s="106">
        <f t="shared" si="107"/>
        <v>90000</v>
      </c>
      <c r="G157" s="109"/>
      <c r="H157" s="106">
        <f>G157+F157</f>
        <v>90000</v>
      </c>
      <c r="I157" s="109"/>
      <c r="J157" s="106">
        <f>I157+H157</f>
        <v>90000</v>
      </c>
      <c r="K157" s="110"/>
      <c r="L157" s="106">
        <f>K157+H157</f>
        <v>90000</v>
      </c>
      <c r="M157" s="109"/>
      <c r="N157" s="106">
        <f>M157+L157</f>
        <v>90000</v>
      </c>
      <c r="O157" s="106"/>
      <c r="P157" s="106">
        <f>O157+N157</f>
        <v>90000</v>
      </c>
      <c r="Q157" s="109"/>
      <c r="R157" s="106">
        <f>Q157+P157</f>
        <v>90000</v>
      </c>
      <c r="S157" s="109"/>
      <c r="T157" s="106">
        <f>S157+R157</f>
        <v>90000</v>
      </c>
      <c r="U157" s="109"/>
      <c r="V157" s="106">
        <f>U157+T157</f>
        <v>90000</v>
      </c>
      <c r="W157" s="109"/>
      <c r="X157" s="106">
        <f>W157+V157</f>
        <v>90000</v>
      </c>
      <c r="Y157" s="109"/>
      <c r="Z157" s="106">
        <f>Y157+X157</f>
        <v>90000</v>
      </c>
      <c r="AA157" s="109">
        <v>-13500</v>
      </c>
      <c r="AB157" s="106">
        <f>AA157+Z157</f>
        <v>76500</v>
      </c>
      <c r="AC157" s="109"/>
      <c r="AD157" s="106">
        <f>AC157+AB157</f>
        <v>76500</v>
      </c>
      <c r="AE157" s="109"/>
      <c r="AF157" s="106">
        <f>AE157+AD157</f>
        <v>76500</v>
      </c>
      <c r="AG157" s="147"/>
      <c r="AH157" s="106">
        <f>AG157+AF157</f>
        <v>76500</v>
      </c>
      <c r="AI157" s="109"/>
      <c r="AJ157" s="106">
        <f>AI157+AH157</f>
        <v>76500</v>
      </c>
      <c r="AK157" s="109"/>
      <c r="AL157" s="106">
        <f>AK157+AJ157</f>
        <v>76500</v>
      </c>
      <c r="AM157" s="109">
        <v>-36431</v>
      </c>
      <c r="AN157" s="106">
        <f>AM157+AL157</f>
        <v>40069</v>
      </c>
      <c r="AO157" s="106">
        <v>0</v>
      </c>
      <c r="AP157" s="113">
        <v>0</v>
      </c>
      <c r="AQ157" s="248">
        <f>90000+72400+228000+123270</f>
        <v>513670</v>
      </c>
      <c r="AR157" s="277"/>
      <c r="AS157" s="244">
        <f t="shared" si="167"/>
        <v>513670</v>
      </c>
      <c r="AT157" s="103"/>
      <c r="AU157" s="103">
        <f>AQ511*0.1%</f>
        <v>35627.289000000004</v>
      </c>
      <c r="AV157" s="103">
        <f>AQ511*1%</f>
        <v>356272.89</v>
      </c>
      <c r="AW157" s="103">
        <f>AQ511*5%</f>
        <v>1781364.4500000002</v>
      </c>
      <c r="AX157" s="174" t="s">
        <v>213</v>
      </c>
    </row>
    <row r="158" spans="1:50" ht="12.75">
      <c r="A158" s="218">
        <v>801</v>
      </c>
      <c r="B158" s="187"/>
      <c r="C158" s="188" t="s">
        <v>71</v>
      </c>
      <c r="D158" s="189">
        <f aca="true" t="shared" si="172" ref="D158:N158">SUM(D159,D182,D197,D223,D245,D260,D282,D286,D303)</f>
        <v>11223640</v>
      </c>
      <c r="E158" s="189">
        <f t="shared" si="172"/>
        <v>0</v>
      </c>
      <c r="F158" s="189">
        <f t="shared" si="172"/>
        <v>11223640</v>
      </c>
      <c r="G158" s="189">
        <f t="shared" si="172"/>
        <v>-183934</v>
      </c>
      <c r="H158" s="189">
        <f t="shared" si="172"/>
        <v>11039706</v>
      </c>
      <c r="I158" s="189">
        <f>SUM(I159,I182,I197,I223,I245,I260,I282,I286,I303)</f>
        <v>0</v>
      </c>
      <c r="J158" s="189">
        <f>SUM(J159,J182,J197,J223,J245,J260,J282,J286,J303)</f>
        <v>11039706</v>
      </c>
      <c r="K158" s="189">
        <f t="shared" si="172"/>
        <v>0</v>
      </c>
      <c r="L158" s="189">
        <f t="shared" si="172"/>
        <v>11039706</v>
      </c>
      <c r="M158" s="189">
        <f t="shared" si="172"/>
        <v>20000</v>
      </c>
      <c r="N158" s="189">
        <f t="shared" si="172"/>
        <v>11059706</v>
      </c>
      <c r="O158" s="189"/>
      <c r="P158" s="189">
        <f aca="true" t="shared" si="173" ref="P158:V158">SUM(P159,P182,P197,P223,P245,P260,P282,P286,P303)</f>
        <v>11059706</v>
      </c>
      <c r="Q158" s="189">
        <f t="shared" si="173"/>
        <v>30000</v>
      </c>
      <c r="R158" s="189">
        <f t="shared" si="173"/>
        <v>11089706</v>
      </c>
      <c r="S158" s="189">
        <f t="shared" si="173"/>
        <v>0</v>
      </c>
      <c r="T158" s="189">
        <f t="shared" si="173"/>
        <v>11089706</v>
      </c>
      <c r="U158" s="189">
        <f t="shared" si="173"/>
        <v>301000</v>
      </c>
      <c r="V158" s="189">
        <f t="shared" si="173"/>
        <v>11390706</v>
      </c>
      <c r="W158" s="189">
        <f aca="true" t="shared" si="174" ref="W158:AB158">SUM(W159,W182,W197,W223,W245,W260,W282,W286,W303)</f>
        <v>0</v>
      </c>
      <c r="X158" s="189">
        <f t="shared" si="174"/>
        <v>11390706</v>
      </c>
      <c r="Y158" s="189">
        <f t="shared" si="174"/>
        <v>0</v>
      </c>
      <c r="Z158" s="189">
        <f t="shared" si="174"/>
        <v>11390706</v>
      </c>
      <c r="AA158" s="189">
        <f t="shared" si="174"/>
        <v>2500</v>
      </c>
      <c r="AB158" s="189">
        <f t="shared" si="174"/>
        <v>11393206</v>
      </c>
      <c r="AC158" s="189">
        <f aca="true" t="shared" si="175" ref="AC158:AH158">SUM(AC159,AC182,AC197,AC223,AC245,AC260,AC282,AC286,AC303)</f>
        <v>0</v>
      </c>
      <c r="AD158" s="189">
        <f t="shared" si="175"/>
        <v>11393206</v>
      </c>
      <c r="AE158" s="189">
        <f t="shared" si="175"/>
        <v>0</v>
      </c>
      <c r="AF158" s="189">
        <f t="shared" si="175"/>
        <v>11393206</v>
      </c>
      <c r="AG158" s="197">
        <f t="shared" si="175"/>
        <v>-43000</v>
      </c>
      <c r="AH158" s="189">
        <f t="shared" si="175"/>
        <v>11350206</v>
      </c>
      <c r="AI158" s="189">
        <f aca="true" t="shared" si="176" ref="AI158:AN158">SUM(AI159,AI182,AI197,AI223,AI245,AI260,AI282,AI286,AI303)</f>
        <v>0</v>
      </c>
      <c r="AJ158" s="189">
        <f t="shared" si="176"/>
        <v>11350206</v>
      </c>
      <c r="AK158" s="189">
        <f t="shared" si="176"/>
        <v>32919</v>
      </c>
      <c r="AL158" s="189">
        <f t="shared" si="176"/>
        <v>11383125</v>
      </c>
      <c r="AM158" s="189">
        <f t="shared" si="176"/>
        <v>72000</v>
      </c>
      <c r="AN158" s="189">
        <f t="shared" si="176"/>
        <v>11458355</v>
      </c>
      <c r="AO158" s="189">
        <f>SUM(AO159,AO182,AO197,AO223,AO245,AO260,AO282,AO286,AO303)</f>
        <v>10498183</v>
      </c>
      <c r="AP158" s="221">
        <f>SUM(AP159,AP182,AP197,AP223,AP245,AP260,AP282,AP286,AP303)</f>
        <v>7115712.6</v>
      </c>
      <c r="AQ158" s="249">
        <f>SUM(AQ159,AQ182,AQ197,AQ223,AQ245,AQ260,AQ282,AQ286,AQ303)</f>
        <v>11533098</v>
      </c>
      <c r="AR158" s="83">
        <f>SUM(AR159,AR182,AR197,AR223,AR245,AR260,AR282,AR286,AR303)</f>
        <v>0</v>
      </c>
      <c r="AS158" s="270">
        <f>SUM(AS159,AS182,AS197,AS223,AS245,AS260,AS282,AS286,AS303)</f>
        <v>11533098</v>
      </c>
      <c r="AT158" s="103"/>
      <c r="AU158" s="103"/>
      <c r="AV158" s="103"/>
      <c r="AX158" s="125"/>
    </row>
    <row r="159" spans="1:48" ht="12.75">
      <c r="A159" s="31">
        <v>80101</v>
      </c>
      <c r="B159" s="26"/>
      <c r="C159" s="19" t="s">
        <v>72</v>
      </c>
      <c r="D159" s="190">
        <f aca="true" t="shared" si="177" ref="D159:AN159">SUM(D160:D181)</f>
        <v>5574583</v>
      </c>
      <c r="E159" s="190">
        <f t="shared" si="177"/>
        <v>0</v>
      </c>
      <c r="F159" s="190">
        <f t="shared" si="177"/>
        <v>5574583</v>
      </c>
      <c r="G159" s="190">
        <f t="shared" si="177"/>
        <v>-15904</v>
      </c>
      <c r="H159" s="190">
        <f t="shared" si="177"/>
        <v>5558679</v>
      </c>
      <c r="I159" s="190">
        <f t="shared" si="177"/>
        <v>0</v>
      </c>
      <c r="J159" s="190">
        <f t="shared" si="177"/>
        <v>5558679</v>
      </c>
      <c r="K159" s="190">
        <f t="shared" si="177"/>
        <v>0</v>
      </c>
      <c r="L159" s="190">
        <f t="shared" si="177"/>
        <v>5558679</v>
      </c>
      <c r="M159" s="190">
        <f t="shared" si="177"/>
        <v>20000</v>
      </c>
      <c r="N159" s="190">
        <f t="shared" si="177"/>
        <v>5578679</v>
      </c>
      <c r="O159" s="190">
        <f t="shared" si="177"/>
        <v>0</v>
      </c>
      <c r="P159" s="190">
        <f t="shared" si="177"/>
        <v>5578679</v>
      </c>
      <c r="Q159" s="190">
        <f t="shared" si="177"/>
        <v>30000</v>
      </c>
      <c r="R159" s="190">
        <f t="shared" si="177"/>
        <v>5608679</v>
      </c>
      <c r="S159" s="190">
        <f t="shared" si="177"/>
        <v>0</v>
      </c>
      <c r="T159" s="190">
        <f t="shared" si="177"/>
        <v>5608679</v>
      </c>
      <c r="U159" s="190">
        <f t="shared" si="177"/>
        <v>256000</v>
      </c>
      <c r="V159" s="190">
        <f t="shared" si="177"/>
        <v>5864679</v>
      </c>
      <c r="W159" s="190">
        <f t="shared" si="177"/>
        <v>0</v>
      </c>
      <c r="X159" s="190">
        <f t="shared" si="177"/>
        <v>5864679</v>
      </c>
      <c r="Y159" s="190">
        <f t="shared" si="177"/>
        <v>0</v>
      </c>
      <c r="Z159" s="190">
        <f t="shared" si="177"/>
        <v>5864679</v>
      </c>
      <c r="AA159" s="190">
        <f t="shared" si="177"/>
        <v>2500</v>
      </c>
      <c r="AB159" s="190">
        <f t="shared" si="177"/>
        <v>5867179</v>
      </c>
      <c r="AC159" s="190">
        <f t="shared" si="177"/>
        <v>0</v>
      </c>
      <c r="AD159" s="190">
        <f t="shared" si="177"/>
        <v>5867179</v>
      </c>
      <c r="AE159" s="190">
        <f t="shared" si="177"/>
        <v>0</v>
      </c>
      <c r="AF159" s="190">
        <f t="shared" si="177"/>
        <v>5867179</v>
      </c>
      <c r="AG159" s="190">
        <f t="shared" si="177"/>
        <v>-85000</v>
      </c>
      <c r="AH159" s="190">
        <f t="shared" si="177"/>
        <v>5782179</v>
      </c>
      <c r="AI159" s="190">
        <f t="shared" si="177"/>
        <v>0</v>
      </c>
      <c r="AJ159" s="190">
        <f t="shared" si="177"/>
        <v>5782179</v>
      </c>
      <c r="AK159" s="190">
        <f t="shared" si="177"/>
        <v>22865</v>
      </c>
      <c r="AL159" s="190">
        <f t="shared" si="177"/>
        <v>5805044</v>
      </c>
      <c r="AM159" s="190">
        <f t="shared" si="177"/>
        <v>72000</v>
      </c>
      <c r="AN159" s="190">
        <f t="shared" si="177"/>
        <v>5892554</v>
      </c>
      <c r="AO159" s="190">
        <f>SUM(AO160:AO181)</f>
        <v>5366903</v>
      </c>
      <c r="AP159" s="81">
        <f>SUM(AP160:AP181)</f>
        <v>3700494</v>
      </c>
      <c r="AQ159" s="247">
        <f>SUM(AQ160:AQ181)</f>
        <v>5747113</v>
      </c>
      <c r="AR159" s="82">
        <f>SUM(AR160:AR181)</f>
        <v>0</v>
      </c>
      <c r="AS159" s="269">
        <f>SUM(AS160:AS181)</f>
        <v>5747113</v>
      </c>
      <c r="AT159" s="103"/>
      <c r="AU159" s="159"/>
      <c r="AV159" s="163"/>
    </row>
    <row r="160" spans="1:48" ht="12.75" hidden="1">
      <c r="A160" s="21"/>
      <c r="B160" s="27">
        <v>3020</v>
      </c>
      <c r="C160" s="18" t="s">
        <v>73</v>
      </c>
      <c r="D160" s="104">
        <v>285386</v>
      </c>
      <c r="E160" s="106"/>
      <c r="F160" s="106">
        <f t="shared" si="107"/>
        <v>285386</v>
      </c>
      <c r="G160" s="109"/>
      <c r="H160" s="106">
        <f>G160+F160</f>
        <v>285386</v>
      </c>
      <c r="I160" s="109"/>
      <c r="J160" s="106">
        <f>I160+H160</f>
        <v>285386</v>
      </c>
      <c r="K160" s="110"/>
      <c r="L160" s="106">
        <f aca="true" t="shared" si="178" ref="L160:L181">K160+H160</f>
        <v>285386</v>
      </c>
      <c r="M160" s="109"/>
      <c r="N160" s="106">
        <f aca="true" t="shared" si="179" ref="N160:R181">M160+L160</f>
        <v>285386</v>
      </c>
      <c r="O160" s="106"/>
      <c r="P160" s="106">
        <f t="shared" si="179"/>
        <v>285386</v>
      </c>
      <c r="Q160" s="109"/>
      <c r="R160" s="106">
        <f t="shared" si="179"/>
        <v>285386</v>
      </c>
      <c r="S160" s="109"/>
      <c r="T160" s="106">
        <f aca="true" t="shared" si="180" ref="T160:T181">S160+R160</f>
        <v>285386</v>
      </c>
      <c r="U160" s="202">
        <v>0</v>
      </c>
      <c r="V160" s="106">
        <f aca="true" t="shared" si="181" ref="V160:V181">U160+T160</f>
        <v>285386</v>
      </c>
      <c r="W160" s="202">
        <v>0</v>
      </c>
      <c r="X160" s="106">
        <f aca="true" t="shared" si="182" ref="X160:X181">W160+V160</f>
        <v>285386</v>
      </c>
      <c r="Y160" s="202">
        <v>0</v>
      </c>
      <c r="Z160" s="106">
        <f aca="true" t="shared" si="183" ref="Z160:Z181">Y160+X160</f>
        <v>285386</v>
      </c>
      <c r="AA160" s="202">
        <v>0</v>
      </c>
      <c r="AB160" s="106">
        <f aca="true" t="shared" si="184" ref="AB160:AB181">AA160+Z160</f>
        <v>285386</v>
      </c>
      <c r="AC160" s="172">
        <v>0</v>
      </c>
      <c r="AD160" s="106">
        <f aca="true" t="shared" si="185" ref="AD160:AD181">AC160+AB160</f>
        <v>285386</v>
      </c>
      <c r="AE160" s="172">
        <v>0</v>
      </c>
      <c r="AF160" s="106">
        <f aca="true" t="shared" si="186" ref="AF160:AF181">AE160+AD160</f>
        <v>285386</v>
      </c>
      <c r="AG160" s="198">
        <v>0</v>
      </c>
      <c r="AH160" s="106">
        <f aca="true" t="shared" si="187" ref="AH160:AH181">AG160+AF160</f>
        <v>285386</v>
      </c>
      <c r="AI160" s="172">
        <v>0</v>
      </c>
      <c r="AJ160" s="106">
        <f aca="true" t="shared" si="188" ref="AJ160:AJ181">AI160+AH160</f>
        <v>285386</v>
      </c>
      <c r="AK160" s="172">
        <v>5200</v>
      </c>
      <c r="AL160" s="106">
        <f aca="true" t="shared" si="189" ref="AL160:AL181">AK160+AJ160</f>
        <v>290586</v>
      </c>
      <c r="AM160" s="172"/>
      <c r="AN160" s="106">
        <v>319716</v>
      </c>
      <c r="AO160" s="106">
        <v>261666</v>
      </c>
      <c r="AP160" s="113">
        <v>223490</v>
      </c>
      <c r="AQ160" s="243">
        <f>474482-54052-75000</f>
        <v>345430</v>
      </c>
      <c r="AR160" s="275"/>
      <c r="AS160" s="244">
        <f t="shared" si="167"/>
        <v>345430</v>
      </c>
      <c r="AT160" s="103"/>
      <c r="AU160" s="159">
        <f aca="true" t="shared" si="190" ref="AU160:AU225">AQ160/(AP160/3*4)</f>
        <v>1.159212940176294</v>
      </c>
      <c r="AV160" s="103"/>
    </row>
    <row r="161" spans="1:48" ht="12.75" hidden="1">
      <c r="A161" s="21"/>
      <c r="B161" s="27">
        <v>4010</v>
      </c>
      <c r="C161" s="18" t="s">
        <v>37</v>
      </c>
      <c r="D161" s="104">
        <v>3415961</v>
      </c>
      <c r="E161" s="106"/>
      <c r="F161" s="106">
        <f t="shared" si="107"/>
        <v>3415961</v>
      </c>
      <c r="G161" s="109"/>
      <c r="H161" s="106">
        <f>G161+F161</f>
        <v>3415961</v>
      </c>
      <c r="I161" s="109"/>
      <c r="J161" s="106">
        <f>I161+H161</f>
        <v>3415961</v>
      </c>
      <c r="K161" s="110"/>
      <c r="L161" s="106">
        <f t="shared" si="178"/>
        <v>3415961</v>
      </c>
      <c r="M161" s="109"/>
      <c r="N161" s="106">
        <f t="shared" si="179"/>
        <v>3415961</v>
      </c>
      <c r="O161" s="106"/>
      <c r="P161" s="106">
        <f t="shared" si="179"/>
        <v>3415961</v>
      </c>
      <c r="Q161" s="109"/>
      <c r="R161" s="106">
        <f t="shared" si="179"/>
        <v>3415961</v>
      </c>
      <c r="S161" s="109"/>
      <c r="T161" s="106">
        <f t="shared" si="180"/>
        <v>3415961</v>
      </c>
      <c r="U161" s="202">
        <v>0</v>
      </c>
      <c r="V161" s="106">
        <f t="shared" si="181"/>
        <v>3415961</v>
      </c>
      <c r="W161" s="202">
        <v>0</v>
      </c>
      <c r="X161" s="106">
        <f t="shared" si="182"/>
        <v>3415961</v>
      </c>
      <c r="Y161" s="202">
        <v>0</v>
      </c>
      <c r="Z161" s="106">
        <f t="shared" si="183"/>
        <v>3415961</v>
      </c>
      <c r="AA161" s="202">
        <v>0</v>
      </c>
      <c r="AB161" s="106">
        <f t="shared" si="184"/>
        <v>3415961</v>
      </c>
      <c r="AC161" s="172">
        <v>0</v>
      </c>
      <c r="AD161" s="106">
        <f t="shared" si="185"/>
        <v>3415961</v>
      </c>
      <c r="AE161" s="172">
        <v>0</v>
      </c>
      <c r="AF161" s="106">
        <f t="shared" si="186"/>
        <v>3415961</v>
      </c>
      <c r="AG161" s="198">
        <v>0</v>
      </c>
      <c r="AH161" s="106">
        <f t="shared" si="187"/>
        <v>3415961</v>
      </c>
      <c r="AI161" s="172">
        <v>0</v>
      </c>
      <c r="AJ161" s="106">
        <f t="shared" si="188"/>
        <v>3415961</v>
      </c>
      <c r="AK161" s="172">
        <v>0</v>
      </c>
      <c r="AL161" s="106">
        <f t="shared" si="189"/>
        <v>3415961</v>
      </c>
      <c r="AM161" s="172"/>
      <c r="AN161" s="106">
        <v>3400461</v>
      </c>
      <c r="AO161" s="106">
        <v>3164227</v>
      </c>
      <c r="AP161" s="113">
        <v>2074527</v>
      </c>
      <c r="AQ161" s="243">
        <v>3450121</v>
      </c>
      <c r="AR161" s="275"/>
      <c r="AS161" s="244">
        <f t="shared" si="167"/>
        <v>3450121</v>
      </c>
      <c r="AT161" s="103"/>
      <c r="AU161" s="159">
        <f t="shared" si="190"/>
        <v>1.2473160146867213</v>
      </c>
      <c r="AV161" s="103">
        <f>AN161*101%</f>
        <v>3434465.61</v>
      </c>
    </row>
    <row r="162" spans="1:48" ht="12.75" hidden="1">
      <c r="A162" s="21"/>
      <c r="B162" s="27">
        <v>4040</v>
      </c>
      <c r="C162" s="18" t="s">
        <v>38</v>
      </c>
      <c r="D162" s="104">
        <v>270240</v>
      </c>
      <c r="E162" s="106"/>
      <c r="F162" s="106">
        <f t="shared" si="107"/>
        <v>270240</v>
      </c>
      <c r="G162" s="109"/>
      <c r="H162" s="106">
        <f>G162+F162</f>
        <v>270240</v>
      </c>
      <c r="I162" s="109"/>
      <c r="J162" s="106">
        <f>I162+H162</f>
        <v>270240</v>
      </c>
      <c r="K162" s="110"/>
      <c r="L162" s="106">
        <f t="shared" si="178"/>
        <v>270240</v>
      </c>
      <c r="M162" s="109"/>
      <c r="N162" s="106">
        <f t="shared" si="179"/>
        <v>270240</v>
      </c>
      <c r="O162" s="106"/>
      <c r="P162" s="106">
        <f t="shared" si="179"/>
        <v>270240</v>
      </c>
      <c r="Q162" s="109"/>
      <c r="R162" s="106">
        <f t="shared" si="179"/>
        <v>270240</v>
      </c>
      <c r="S162" s="109"/>
      <c r="T162" s="106">
        <f t="shared" si="180"/>
        <v>270240</v>
      </c>
      <c r="U162" s="202"/>
      <c r="V162" s="106">
        <f t="shared" si="181"/>
        <v>270240</v>
      </c>
      <c r="W162" s="202"/>
      <c r="X162" s="106">
        <f t="shared" si="182"/>
        <v>270240</v>
      </c>
      <c r="Y162" s="202"/>
      <c r="Z162" s="106">
        <f t="shared" si="183"/>
        <v>270240</v>
      </c>
      <c r="AA162" s="202"/>
      <c r="AB162" s="106">
        <f t="shared" si="184"/>
        <v>270240</v>
      </c>
      <c r="AC162" s="172">
        <v>-3000</v>
      </c>
      <c r="AD162" s="106">
        <f t="shared" si="185"/>
        <v>267240</v>
      </c>
      <c r="AE162" s="172"/>
      <c r="AF162" s="106">
        <f t="shared" si="186"/>
        <v>267240</v>
      </c>
      <c r="AG162" s="198"/>
      <c r="AH162" s="106">
        <f t="shared" si="187"/>
        <v>267240</v>
      </c>
      <c r="AI162" s="172"/>
      <c r="AJ162" s="106">
        <f t="shared" si="188"/>
        <v>267240</v>
      </c>
      <c r="AK162" s="172"/>
      <c r="AL162" s="106">
        <f t="shared" si="189"/>
        <v>267240</v>
      </c>
      <c r="AM162" s="172"/>
      <c r="AN162" s="106">
        <v>251760</v>
      </c>
      <c r="AO162" s="106">
        <v>232458</v>
      </c>
      <c r="AP162" s="113">
        <v>251704</v>
      </c>
      <c r="AQ162" s="243">
        <f>289702</f>
        <v>289702</v>
      </c>
      <c r="AR162" s="275"/>
      <c r="AS162" s="244">
        <f t="shared" si="167"/>
        <v>289702</v>
      </c>
      <c r="AT162" s="103"/>
      <c r="AU162" s="159">
        <f t="shared" si="190"/>
        <v>0.863222276960239</v>
      </c>
      <c r="AV162" s="103"/>
    </row>
    <row r="163" spans="1:48" ht="12.75" hidden="1">
      <c r="A163" s="21"/>
      <c r="B163" s="27">
        <v>4110</v>
      </c>
      <c r="C163" s="18" t="s">
        <v>39</v>
      </c>
      <c r="D163" s="104">
        <v>583654</v>
      </c>
      <c r="E163" s="106"/>
      <c r="F163" s="106">
        <f aca="true" t="shared" si="191" ref="F163:F228">D163+E163</f>
        <v>583654</v>
      </c>
      <c r="G163" s="109"/>
      <c r="H163" s="106">
        <f aca="true" t="shared" si="192" ref="H163:H228">G163+F163</f>
        <v>583654</v>
      </c>
      <c r="I163" s="109"/>
      <c r="J163" s="106">
        <f aca="true" t="shared" si="193" ref="J163:J181">I163+H163</f>
        <v>583654</v>
      </c>
      <c r="K163" s="110"/>
      <c r="L163" s="106">
        <f t="shared" si="178"/>
        <v>583654</v>
      </c>
      <c r="M163" s="109"/>
      <c r="N163" s="106">
        <f t="shared" si="179"/>
        <v>583654</v>
      </c>
      <c r="O163" s="106"/>
      <c r="P163" s="106">
        <f t="shared" si="179"/>
        <v>583654</v>
      </c>
      <c r="Q163" s="109"/>
      <c r="R163" s="106">
        <f t="shared" si="179"/>
        <v>583654</v>
      </c>
      <c r="S163" s="109"/>
      <c r="T163" s="106">
        <f t="shared" si="180"/>
        <v>583654</v>
      </c>
      <c r="U163" s="202">
        <v>0</v>
      </c>
      <c r="V163" s="106">
        <f t="shared" si="181"/>
        <v>583654</v>
      </c>
      <c r="W163" s="202">
        <v>0</v>
      </c>
      <c r="X163" s="106">
        <f t="shared" si="182"/>
        <v>583654</v>
      </c>
      <c r="Y163" s="202">
        <v>0</v>
      </c>
      <c r="Z163" s="106">
        <f t="shared" si="183"/>
        <v>583654</v>
      </c>
      <c r="AA163" s="202">
        <v>0</v>
      </c>
      <c r="AB163" s="106">
        <f t="shared" si="184"/>
        <v>583654</v>
      </c>
      <c r="AC163" s="172">
        <v>0</v>
      </c>
      <c r="AD163" s="106">
        <f t="shared" si="185"/>
        <v>583654</v>
      </c>
      <c r="AE163" s="172"/>
      <c r="AF163" s="106">
        <f t="shared" si="186"/>
        <v>583654</v>
      </c>
      <c r="AG163" s="198"/>
      <c r="AH163" s="106">
        <f t="shared" si="187"/>
        <v>583654</v>
      </c>
      <c r="AI163" s="172"/>
      <c r="AJ163" s="106">
        <f t="shared" si="188"/>
        <v>583654</v>
      </c>
      <c r="AK163" s="172"/>
      <c r="AL163" s="106">
        <f t="shared" si="189"/>
        <v>583654</v>
      </c>
      <c r="AM163" s="172"/>
      <c r="AN163" s="106">
        <f>AM163+AL163</f>
        <v>583654</v>
      </c>
      <c r="AO163" s="106">
        <v>536001</v>
      </c>
      <c r="AP163" s="113">
        <v>354379</v>
      </c>
      <c r="AQ163" s="243">
        <f>693734-80000</f>
        <v>613734</v>
      </c>
      <c r="AR163" s="275"/>
      <c r="AS163" s="244">
        <f t="shared" si="167"/>
        <v>613734</v>
      </c>
      <c r="AT163" s="103"/>
      <c r="AU163" s="159">
        <f t="shared" si="190"/>
        <v>1.298893275278727</v>
      </c>
      <c r="AV163" s="103"/>
    </row>
    <row r="164" spans="1:48" ht="12.75" hidden="1">
      <c r="A164" s="21"/>
      <c r="B164" s="27">
        <v>4120</v>
      </c>
      <c r="C164" s="18" t="s">
        <v>40</v>
      </c>
      <c r="D164" s="104">
        <v>93134</v>
      </c>
      <c r="E164" s="106"/>
      <c r="F164" s="106">
        <f t="shared" si="191"/>
        <v>93134</v>
      </c>
      <c r="G164" s="109"/>
      <c r="H164" s="106">
        <f t="shared" si="192"/>
        <v>93134</v>
      </c>
      <c r="I164" s="109"/>
      <c r="J164" s="106">
        <f t="shared" si="193"/>
        <v>93134</v>
      </c>
      <c r="K164" s="110"/>
      <c r="L164" s="106">
        <f t="shared" si="178"/>
        <v>93134</v>
      </c>
      <c r="M164" s="109"/>
      <c r="N164" s="106">
        <f t="shared" si="179"/>
        <v>93134</v>
      </c>
      <c r="O164" s="106"/>
      <c r="P164" s="106">
        <f t="shared" si="179"/>
        <v>93134</v>
      </c>
      <c r="Q164" s="109"/>
      <c r="R164" s="106">
        <f t="shared" si="179"/>
        <v>93134</v>
      </c>
      <c r="S164" s="109"/>
      <c r="T164" s="106">
        <f t="shared" si="180"/>
        <v>93134</v>
      </c>
      <c r="U164" s="202">
        <v>0</v>
      </c>
      <c r="V164" s="106">
        <f t="shared" si="181"/>
        <v>93134</v>
      </c>
      <c r="W164" s="202">
        <v>0</v>
      </c>
      <c r="X164" s="106">
        <f t="shared" si="182"/>
        <v>93134</v>
      </c>
      <c r="Y164" s="202">
        <v>0</v>
      </c>
      <c r="Z164" s="106">
        <f t="shared" si="183"/>
        <v>93134</v>
      </c>
      <c r="AA164" s="202">
        <v>0</v>
      </c>
      <c r="AB164" s="106">
        <f t="shared" si="184"/>
        <v>93134</v>
      </c>
      <c r="AC164" s="172">
        <v>0</v>
      </c>
      <c r="AD164" s="106">
        <f t="shared" si="185"/>
        <v>93134</v>
      </c>
      <c r="AE164" s="172"/>
      <c r="AF164" s="106">
        <f t="shared" si="186"/>
        <v>93134</v>
      </c>
      <c r="AG164" s="198"/>
      <c r="AH164" s="106">
        <f t="shared" si="187"/>
        <v>93134</v>
      </c>
      <c r="AI164" s="172"/>
      <c r="AJ164" s="106">
        <f t="shared" si="188"/>
        <v>93134</v>
      </c>
      <c r="AK164" s="172"/>
      <c r="AL164" s="106">
        <f t="shared" si="189"/>
        <v>93134</v>
      </c>
      <c r="AM164" s="172"/>
      <c r="AN164" s="106">
        <f>AM164+AL164</f>
        <v>93134</v>
      </c>
      <c r="AO164" s="106">
        <v>84941</v>
      </c>
      <c r="AP164" s="113">
        <v>56576</v>
      </c>
      <c r="AQ164" s="243">
        <f>106038-5000</f>
        <v>101038</v>
      </c>
      <c r="AR164" s="275"/>
      <c r="AS164" s="244">
        <f t="shared" si="167"/>
        <v>101038</v>
      </c>
      <c r="AT164" s="103"/>
      <c r="AU164" s="159">
        <f t="shared" si="190"/>
        <v>1.3394107041855203</v>
      </c>
      <c r="AV164" s="103"/>
    </row>
    <row r="165" spans="1:48" ht="25.5">
      <c r="A165" s="21"/>
      <c r="B165" s="27">
        <v>4140</v>
      </c>
      <c r="C165" s="18" t="s">
        <v>41</v>
      </c>
      <c r="D165" s="104"/>
      <c r="E165" s="106"/>
      <c r="F165" s="106"/>
      <c r="G165" s="109"/>
      <c r="H165" s="106"/>
      <c r="I165" s="109"/>
      <c r="J165" s="106"/>
      <c r="K165" s="110"/>
      <c r="L165" s="106"/>
      <c r="M165" s="109"/>
      <c r="N165" s="106"/>
      <c r="O165" s="106"/>
      <c r="P165" s="106"/>
      <c r="Q165" s="109"/>
      <c r="R165" s="106"/>
      <c r="S165" s="109"/>
      <c r="T165" s="106"/>
      <c r="U165" s="202"/>
      <c r="V165" s="106"/>
      <c r="W165" s="202"/>
      <c r="X165" s="106"/>
      <c r="Y165" s="202"/>
      <c r="Z165" s="106"/>
      <c r="AA165" s="202"/>
      <c r="AB165" s="106"/>
      <c r="AC165" s="172"/>
      <c r="AD165" s="106"/>
      <c r="AE165" s="172"/>
      <c r="AF165" s="106"/>
      <c r="AG165" s="198"/>
      <c r="AH165" s="106"/>
      <c r="AI165" s="172"/>
      <c r="AJ165" s="106"/>
      <c r="AK165" s="172"/>
      <c r="AL165" s="106"/>
      <c r="AM165" s="172"/>
      <c r="AN165" s="106"/>
      <c r="AO165" s="106"/>
      <c r="AP165" s="113"/>
      <c r="AQ165" s="243"/>
      <c r="AR165" s="80">
        <v>5000</v>
      </c>
      <c r="AS165" s="244">
        <f t="shared" si="167"/>
        <v>5000</v>
      </c>
      <c r="AT165" s="103"/>
      <c r="AU165" s="159"/>
      <c r="AV165" s="103"/>
    </row>
    <row r="166" spans="1:48" ht="12.75" hidden="1">
      <c r="A166" s="21"/>
      <c r="B166" s="27">
        <v>4170</v>
      </c>
      <c r="C166" s="18" t="s">
        <v>42</v>
      </c>
      <c r="D166" s="104">
        <v>13600</v>
      </c>
      <c r="E166" s="106"/>
      <c r="F166" s="106">
        <f t="shared" si="191"/>
        <v>13600</v>
      </c>
      <c r="G166" s="109"/>
      <c r="H166" s="106">
        <f t="shared" si="192"/>
        <v>13600</v>
      </c>
      <c r="I166" s="109"/>
      <c r="J166" s="106">
        <f t="shared" si="193"/>
        <v>13600</v>
      </c>
      <c r="K166" s="110"/>
      <c r="L166" s="106">
        <f t="shared" si="178"/>
        <v>13600</v>
      </c>
      <c r="M166" s="109"/>
      <c r="N166" s="106">
        <f t="shared" si="179"/>
        <v>13600</v>
      </c>
      <c r="O166" s="106"/>
      <c r="P166" s="106">
        <f t="shared" si="179"/>
        <v>13600</v>
      </c>
      <c r="Q166" s="109"/>
      <c r="R166" s="106">
        <f t="shared" si="179"/>
        <v>13600</v>
      </c>
      <c r="S166" s="109"/>
      <c r="T166" s="106">
        <f t="shared" si="180"/>
        <v>13600</v>
      </c>
      <c r="U166" s="109"/>
      <c r="V166" s="106">
        <f t="shared" si="181"/>
        <v>13600</v>
      </c>
      <c r="W166" s="109"/>
      <c r="X166" s="106">
        <f t="shared" si="182"/>
        <v>13600</v>
      </c>
      <c r="Y166" s="109"/>
      <c r="Z166" s="106">
        <f t="shared" si="183"/>
        <v>13600</v>
      </c>
      <c r="AA166" s="109"/>
      <c r="AB166" s="106">
        <f t="shared" si="184"/>
        <v>13600</v>
      </c>
      <c r="AC166" s="109"/>
      <c r="AD166" s="106">
        <f t="shared" si="185"/>
        <v>13600</v>
      </c>
      <c r="AE166" s="109"/>
      <c r="AF166" s="106">
        <f t="shared" si="186"/>
        <v>13600</v>
      </c>
      <c r="AG166" s="147"/>
      <c r="AH166" s="106">
        <f t="shared" si="187"/>
        <v>13600</v>
      </c>
      <c r="AI166" s="109"/>
      <c r="AJ166" s="106">
        <f t="shared" si="188"/>
        <v>13600</v>
      </c>
      <c r="AK166" s="109"/>
      <c r="AL166" s="106">
        <f t="shared" si="189"/>
        <v>13600</v>
      </c>
      <c r="AM166" s="109"/>
      <c r="AN166" s="106">
        <v>12050</v>
      </c>
      <c r="AO166" s="106">
        <v>2460</v>
      </c>
      <c r="AP166" s="113">
        <v>4661</v>
      </c>
      <c r="AQ166" s="243">
        <v>13000</v>
      </c>
      <c r="AR166" s="80"/>
      <c r="AS166" s="244">
        <f t="shared" si="167"/>
        <v>13000</v>
      </c>
      <c r="AT166" s="103"/>
      <c r="AU166" s="159">
        <f t="shared" si="190"/>
        <v>2.0918257884574123</v>
      </c>
      <c r="AV166" s="103"/>
    </row>
    <row r="167" spans="1:48" ht="13.5" thickBot="1">
      <c r="A167" s="21"/>
      <c r="B167" s="27">
        <v>4210</v>
      </c>
      <c r="C167" s="18" t="s">
        <v>14</v>
      </c>
      <c r="D167" s="104">
        <v>459200</v>
      </c>
      <c r="E167" s="106">
        <v>-2000</v>
      </c>
      <c r="F167" s="106">
        <f t="shared" si="191"/>
        <v>457200</v>
      </c>
      <c r="G167" s="109">
        <v>-23000</v>
      </c>
      <c r="H167" s="106">
        <f t="shared" si="192"/>
        <v>434200</v>
      </c>
      <c r="I167" s="109"/>
      <c r="J167" s="106">
        <f t="shared" si="193"/>
        <v>434200</v>
      </c>
      <c r="K167" s="110"/>
      <c r="L167" s="106">
        <f t="shared" si="178"/>
        <v>434200</v>
      </c>
      <c r="M167" s="109"/>
      <c r="N167" s="106">
        <f t="shared" si="179"/>
        <v>434200</v>
      </c>
      <c r="O167" s="106"/>
      <c r="P167" s="106">
        <f t="shared" si="179"/>
        <v>434200</v>
      </c>
      <c r="Q167" s="109"/>
      <c r="R167" s="106">
        <f t="shared" si="179"/>
        <v>434200</v>
      </c>
      <c r="S167" s="109"/>
      <c r="T167" s="106">
        <f t="shared" si="180"/>
        <v>434200</v>
      </c>
      <c r="U167" s="109">
        <v>10000</v>
      </c>
      <c r="V167" s="106">
        <f t="shared" si="181"/>
        <v>444200</v>
      </c>
      <c r="W167" s="109"/>
      <c r="X167" s="106">
        <f t="shared" si="182"/>
        <v>444200</v>
      </c>
      <c r="Y167" s="109"/>
      <c r="Z167" s="106">
        <f t="shared" si="183"/>
        <v>444200</v>
      </c>
      <c r="AA167" s="109"/>
      <c r="AB167" s="106">
        <f t="shared" si="184"/>
        <v>444200</v>
      </c>
      <c r="AC167" s="109"/>
      <c r="AD167" s="106">
        <f t="shared" si="185"/>
        <v>444200</v>
      </c>
      <c r="AE167" s="109"/>
      <c r="AF167" s="106">
        <f t="shared" si="186"/>
        <v>444200</v>
      </c>
      <c r="AG167" s="147">
        <v>-10000</v>
      </c>
      <c r="AH167" s="106">
        <f t="shared" si="187"/>
        <v>434200</v>
      </c>
      <c r="AI167" s="109"/>
      <c r="AJ167" s="106">
        <f t="shared" si="188"/>
        <v>434200</v>
      </c>
      <c r="AK167" s="109">
        <f>3300+10000</f>
        <v>13300</v>
      </c>
      <c r="AL167" s="106">
        <f t="shared" si="189"/>
        <v>447500</v>
      </c>
      <c r="AM167" s="109"/>
      <c r="AN167" s="106">
        <v>465500</v>
      </c>
      <c r="AO167" s="106">
        <v>453794</v>
      </c>
      <c r="AP167" s="113">
        <v>223369</v>
      </c>
      <c r="AQ167" s="243">
        <v>460000</v>
      </c>
      <c r="AR167" s="80">
        <v>-5000</v>
      </c>
      <c r="AS167" s="244">
        <f t="shared" si="167"/>
        <v>455000</v>
      </c>
      <c r="AT167" s="103"/>
      <c r="AU167" s="159"/>
      <c r="AV167" s="103"/>
    </row>
    <row r="168" spans="1:48" ht="12.75" hidden="1">
      <c r="A168" s="21"/>
      <c r="B168" s="27">
        <v>4240</v>
      </c>
      <c r="C168" s="18" t="s">
        <v>74</v>
      </c>
      <c r="D168" s="104">
        <v>0</v>
      </c>
      <c r="E168" s="106"/>
      <c r="F168" s="106">
        <f t="shared" si="191"/>
        <v>0</v>
      </c>
      <c r="G168" s="109">
        <v>13000</v>
      </c>
      <c r="H168" s="106">
        <f t="shared" si="192"/>
        <v>13000</v>
      </c>
      <c r="I168" s="109"/>
      <c r="J168" s="106">
        <f t="shared" si="193"/>
        <v>13000</v>
      </c>
      <c r="K168" s="110"/>
      <c r="L168" s="106">
        <f t="shared" si="178"/>
        <v>13000</v>
      </c>
      <c r="M168" s="109"/>
      <c r="N168" s="106">
        <f t="shared" si="179"/>
        <v>13000</v>
      </c>
      <c r="O168" s="106"/>
      <c r="P168" s="106">
        <f t="shared" si="179"/>
        <v>13000</v>
      </c>
      <c r="Q168" s="109"/>
      <c r="R168" s="106">
        <f t="shared" si="179"/>
        <v>13000</v>
      </c>
      <c r="S168" s="109"/>
      <c r="T168" s="106">
        <f t="shared" si="180"/>
        <v>13000</v>
      </c>
      <c r="U168" s="109"/>
      <c r="V168" s="106">
        <f t="shared" si="181"/>
        <v>13000</v>
      </c>
      <c r="W168" s="109"/>
      <c r="X168" s="106">
        <f t="shared" si="182"/>
        <v>13000</v>
      </c>
      <c r="Y168" s="109"/>
      <c r="Z168" s="106">
        <f t="shared" si="183"/>
        <v>13000</v>
      </c>
      <c r="AA168" s="109"/>
      <c r="AB168" s="106">
        <f t="shared" si="184"/>
        <v>13000</v>
      </c>
      <c r="AC168" s="109"/>
      <c r="AD168" s="106">
        <f t="shared" si="185"/>
        <v>13000</v>
      </c>
      <c r="AE168" s="109"/>
      <c r="AF168" s="106">
        <f t="shared" si="186"/>
        <v>13000</v>
      </c>
      <c r="AG168" s="147"/>
      <c r="AH168" s="106">
        <f t="shared" si="187"/>
        <v>13000</v>
      </c>
      <c r="AI168" s="109"/>
      <c r="AJ168" s="106">
        <f t="shared" si="188"/>
        <v>13000</v>
      </c>
      <c r="AK168" s="109"/>
      <c r="AL168" s="106">
        <f t="shared" si="189"/>
        <v>13000</v>
      </c>
      <c r="AM168" s="109">
        <f>36000*2</f>
        <v>72000</v>
      </c>
      <c r="AN168" s="106">
        <f>AM168+AL168</f>
        <v>85000</v>
      </c>
      <c r="AO168" s="106">
        <v>6766</v>
      </c>
      <c r="AP168" s="113">
        <v>6830</v>
      </c>
      <c r="AQ168" s="243">
        <v>4000</v>
      </c>
      <c r="AR168" s="275"/>
      <c r="AS168" s="244">
        <f t="shared" si="167"/>
        <v>4000</v>
      </c>
      <c r="AT168" s="103"/>
      <c r="AU168" s="159">
        <f t="shared" si="190"/>
        <v>0.43923865300146414</v>
      </c>
      <c r="AV168" s="103"/>
    </row>
    <row r="169" spans="1:48" ht="12.75" hidden="1">
      <c r="A169" s="21"/>
      <c r="B169" s="27">
        <v>4260</v>
      </c>
      <c r="C169" s="18" t="s">
        <v>43</v>
      </c>
      <c r="D169" s="104">
        <v>71000</v>
      </c>
      <c r="E169" s="106"/>
      <c r="F169" s="106">
        <f t="shared" si="191"/>
        <v>71000</v>
      </c>
      <c r="G169" s="109">
        <v>-2904</v>
      </c>
      <c r="H169" s="106">
        <f t="shared" si="192"/>
        <v>68096</v>
      </c>
      <c r="I169" s="109"/>
      <c r="J169" s="106">
        <f t="shared" si="193"/>
        <v>68096</v>
      </c>
      <c r="K169" s="110"/>
      <c r="L169" s="106">
        <f t="shared" si="178"/>
        <v>68096</v>
      </c>
      <c r="M169" s="109"/>
      <c r="N169" s="106">
        <f t="shared" si="179"/>
        <v>68096</v>
      </c>
      <c r="O169" s="106"/>
      <c r="P169" s="106">
        <f t="shared" si="179"/>
        <v>68096</v>
      </c>
      <c r="Q169" s="109"/>
      <c r="R169" s="106">
        <f t="shared" si="179"/>
        <v>68096</v>
      </c>
      <c r="S169" s="109"/>
      <c r="T169" s="106">
        <f t="shared" si="180"/>
        <v>68096</v>
      </c>
      <c r="U169" s="109"/>
      <c r="V169" s="106">
        <f t="shared" si="181"/>
        <v>68096</v>
      </c>
      <c r="W169" s="109"/>
      <c r="X169" s="106">
        <f t="shared" si="182"/>
        <v>68096</v>
      </c>
      <c r="Y169" s="109"/>
      <c r="Z169" s="106">
        <f t="shared" si="183"/>
        <v>68096</v>
      </c>
      <c r="AA169" s="109"/>
      <c r="AB169" s="106">
        <f t="shared" si="184"/>
        <v>68096</v>
      </c>
      <c r="AC169" s="109"/>
      <c r="AD169" s="106">
        <f t="shared" si="185"/>
        <v>68096</v>
      </c>
      <c r="AE169" s="109"/>
      <c r="AF169" s="106">
        <f t="shared" si="186"/>
        <v>68096</v>
      </c>
      <c r="AG169" s="147"/>
      <c r="AH169" s="106">
        <f t="shared" si="187"/>
        <v>68096</v>
      </c>
      <c r="AI169" s="109"/>
      <c r="AJ169" s="106">
        <f t="shared" si="188"/>
        <v>68096</v>
      </c>
      <c r="AK169" s="109">
        <v>4300</v>
      </c>
      <c r="AL169" s="106">
        <f t="shared" si="189"/>
        <v>72396</v>
      </c>
      <c r="AM169" s="109"/>
      <c r="AN169" s="106">
        <f>AM169+AL169</f>
        <v>72396</v>
      </c>
      <c r="AO169" s="106">
        <v>56308</v>
      </c>
      <c r="AP169" s="113">
        <v>45359</v>
      </c>
      <c r="AQ169" s="243">
        <v>83000</v>
      </c>
      <c r="AR169" s="275"/>
      <c r="AS169" s="244">
        <f t="shared" si="167"/>
        <v>83000</v>
      </c>
      <c r="AT169" s="103"/>
      <c r="AU169" s="164">
        <f t="shared" si="190"/>
        <v>1.372384752750281</v>
      </c>
      <c r="AV169" s="103">
        <f>(AP169/3*4)*130%</f>
        <v>78622.26666666666</v>
      </c>
    </row>
    <row r="170" spans="1:48" ht="12.75" hidden="1">
      <c r="A170" s="21"/>
      <c r="B170" s="27">
        <v>4270</v>
      </c>
      <c r="C170" s="18" t="s">
        <v>24</v>
      </c>
      <c r="D170" s="104">
        <v>60500</v>
      </c>
      <c r="E170" s="106"/>
      <c r="F170" s="106">
        <f t="shared" si="191"/>
        <v>60500</v>
      </c>
      <c r="G170" s="109"/>
      <c r="H170" s="106">
        <f t="shared" si="192"/>
        <v>60500</v>
      </c>
      <c r="I170" s="109"/>
      <c r="J170" s="106">
        <f t="shared" si="193"/>
        <v>60500</v>
      </c>
      <c r="K170" s="110"/>
      <c r="L170" s="106">
        <f t="shared" si="178"/>
        <v>60500</v>
      </c>
      <c r="M170" s="109"/>
      <c r="N170" s="106">
        <f t="shared" si="179"/>
        <v>60500</v>
      </c>
      <c r="O170" s="106"/>
      <c r="P170" s="106">
        <f t="shared" si="179"/>
        <v>60500</v>
      </c>
      <c r="Q170" s="109">
        <f>20000+30000</f>
        <v>50000</v>
      </c>
      <c r="R170" s="106">
        <f t="shared" si="179"/>
        <v>110500</v>
      </c>
      <c r="S170" s="109"/>
      <c r="T170" s="106">
        <f t="shared" si="180"/>
        <v>110500</v>
      </c>
      <c r="U170" s="109"/>
      <c r="V170" s="106">
        <f t="shared" si="181"/>
        <v>110500</v>
      </c>
      <c r="W170" s="109"/>
      <c r="X170" s="106">
        <f t="shared" si="182"/>
        <v>110500</v>
      </c>
      <c r="Y170" s="109">
        <v>-30000</v>
      </c>
      <c r="Z170" s="106">
        <f t="shared" si="183"/>
        <v>80500</v>
      </c>
      <c r="AA170" s="109"/>
      <c r="AB170" s="106">
        <f t="shared" si="184"/>
        <v>80500</v>
      </c>
      <c r="AC170" s="109">
        <v>7000</v>
      </c>
      <c r="AD170" s="106">
        <f t="shared" si="185"/>
        <v>87500</v>
      </c>
      <c r="AE170" s="109">
        <v>600</v>
      </c>
      <c r="AF170" s="106">
        <f t="shared" si="186"/>
        <v>88100</v>
      </c>
      <c r="AG170" s="147"/>
      <c r="AH170" s="106">
        <f t="shared" si="187"/>
        <v>88100</v>
      </c>
      <c r="AI170" s="109"/>
      <c r="AJ170" s="106">
        <f t="shared" si="188"/>
        <v>88100</v>
      </c>
      <c r="AK170" s="109"/>
      <c r="AL170" s="106">
        <f t="shared" si="189"/>
        <v>88100</v>
      </c>
      <c r="AM170" s="109"/>
      <c r="AN170" s="106">
        <f>AM170+AL170</f>
        <v>88100</v>
      </c>
      <c r="AO170" s="106">
        <v>301542</v>
      </c>
      <c r="AP170" s="113">
        <f>18906+56177</f>
        <v>75083</v>
      </c>
      <c r="AQ170" s="243">
        <v>47500</v>
      </c>
      <c r="AR170" s="275"/>
      <c r="AS170" s="244">
        <f t="shared" si="167"/>
        <v>47500</v>
      </c>
      <c r="AT170" s="103"/>
      <c r="AU170" s="159">
        <f t="shared" si="190"/>
        <v>0.47447491442803297</v>
      </c>
      <c r="AV170" s="103"/>
    </row>
    <row r="171" spans="1:48" ht="12.75" hidden="1">
      <c r="A171" s="21"/>
      <c r="B171" s="27">
        <v>4280</v>
      </c>
      <c r="C171" s="18" t="s">
        <v>44</v>
      </c>
      <c r="D171" s="104">
        <v>6200</v>
      </c>
      <c r="E171" s="106"/>
      <c r="F171" s="106">
        <f t="shared" si="191"/>
        <v>6200</v>
      </c>
      <c r="G171" s="109"/>
      <c r="H171" s="106">
        <f t="shared" si="192"/>
        <v>6200</v>
      </c>
      <c r="I171" s="109"/>
      <c r="J171" s="106">
        <f t="shared" si="193"/>
        <v>6200</v>
      </c>
      <c r="K171" s="110"/>
      <c r="L171" s="106">
        <f t="shared" si="178"/>
        <v>6200</v>
      </c>
      <c r="M171" s="109"/>
      <c r="N171" s="106">
        <f t="shared" si="179"/>
        <v>6200</v>
      </c>
      <c r="O171" s="106"/>
      <c r="P171" s="106">
        <f t="shared" si="179"/>
        <v>6200</v>
      </c>
      <c r="Q171" s="109"/>
      <c r="R171" s="106">
        <f t="shared" si="179"/>
        <v>6200</v>
      </c>
      <c r="S171" s="109"/>
      <c r="T171" s="106">
        <f t="shared" si="180"/>
        <v>6200</v>
      </c>
      <c r="U171" s="109"/>
      <c r="V171" s="106">
        <f t="shared" si="181"/>
        <v>6200</v>
      </c>
      <c r="W171" s="109"/>
      <c r="X171" s="106">
        <f t="shared" si="182"/>
        <v>6200</v>
      </c>
      <c r="Y171" s="109"/>
      <c r="Z171" s="106">
        <f t="shared" si="183"/>
        <v>6200</v>
      </c>
      <c r="AA171" s="109"/>
      <c r="AB171" s="106">
        <f t="shared" si="184"/>
        <v>6200</v>
      </c>
      <c r="AC171" s="109"/>
      <c r="AD171" s="106">
        <f t="shared" si="185"/>
        <v>6200</v>
      </c>
      <c r="AE171" s="109"/>
      <c r="AF171" s="106">
        <f t="shared" si="186"/>
        <v>6200</v>
      </c>
      <c r="AG171" s="147">
        <v>-1000</v>
      </c>
      <c r="AH171" s="106">
        <f t="shared" si="187"/>
        <v>5200</v>
      </c>
      <c r="AI171" s="109"/>
      <c r="AJ171" s="106">
        <f t="shared" si="188"/>
        <v>5200</v>
      </c>
      <c r="AK171" s="109"/>
      <c r="AL171" s="106">
        <f t="shared" si="189"/>
        <v>5200</v>
      </c>
      <c r="AM171" s="109"/>
      <c r="AN171" s="106">
        <v>4200</v>
      </c>
      <c r="AO171" s="106">
        <v>3035</v>
      </c>
      <c r="AP171" s="113">
        <v>823</v>
      </c>
      <c r="AQ171" s="243">
        <v>5200</v>
      </c>
      <c r="AR171" s="275"/>
      <c r="AS171" s="244">
        <f t="shared" si="167"/>
        <v>5200</v>
      </c>
      <c r="AT171" s="103"/>
      <c r="AU171" s="159">
        <f t="shared" si="190"/>
        <v>4.738760631834751</v>
      </c>
      <c r="AV171" s="103"/>
    </row>
    <row r="172" spans="1:48" ht="12.75" hidden="1">
      <c r="A172" s="21"/>
      <c r="B172" s="27">
        <v>4300</v>
      </c>
      <c r="C172" s="18" t="s">
        <v>15</v>
      </c>
      <c r="D172" s="104">
        <v>59000</v>
      </c>
      <c r="E172" s="106"/>
      <c r="F172" s="106">
        <f t="shared" si="191"/>
        <v>59000</v>
      </c>
      <c r="G172" s="109">
        <v>-3000</v>
      </c>
      <c r="H172" s="106">
        <f t="shared" si="192"/>
        <v>56000</v>
      </c>
      <c r="I172" s="109"/>
      <c r="J172" s="106">
        <f t="shared" si="193"/>
        <v>56000</v>
      </c>
      <c r="K172" s="110"/>
      <c r="L172" s="106">
        <f t="shared" si="178"/>
        <v>56000</v>
      </c>
      <c r="M172" s="109"/>
      <c r="N172" s="106">
        <f t="shared" si="179"/>
        <v>56000</v>
      </c>
      <c r="O172" s="106"/>
      <c r="P172" s="106">
        <f t="shared" si="179"/>
        <v>56000</v>
      </c>
      <c r="Q172" s="109"/>
      <c r="R172" s="106">
        <f t="shared" si="179"/>
        <v>56000</v>
      </c>
      <c r="S172" s="109"/>
      <c r="T172" s="106">
        <f t="shared" si="180"/>
        <v>56000</v>
      </c>
      <c r="U172" s="109">
        <v>16000</v>
      </c>
      <c r="V172" s="106">
        <f t="shared" si="181"/>
        <v>72000</v>
      </c>
      <c r="W172" s="109"/>
      <c r="X172" s="106">
        <f t="shared" si="182"/>
        <v>72000</v>
      </c>
      <c r="Y172" s="109">
        <v>30000</v>
      </c>
      <c r="Z172" s="106">
        <f t="shared" si="183"/>
        <v>102000</v>
      </c>
      <c r="AA172" s="172">
        <v>2500</v>
      </c>
      <c r="AB172" s="106">
        <f t="shared" si="184"/>
        <v>104500</v>
      </c>
      <c r="AC172" s="172"/>
      <c r="AD172" s="106">
        <f t="shared" si="185"/>
        <v>104500</v>
      </c>
      <c r="AE172" s="172"/>
      <c r="AF172" s="106">
        <f t="shared" si="186"/>
        <v>104500</v>
      </c>
      <c r="AG172" s="198">
        <f>13000+6970+15000</f>
        <v>34970</v>
      </c>
      <c r="AH172" s="106">
        <f t="shared" si="187"/>
        <v>139470</v>
      </c>
      <c r="AI172" s="172"/>
      <c r="AJ172" s="106">
        <f t="shared" si="188"/>
        <v>139470</v>
      </c>
      <c r="AK172" s="172">
        <f>5600+4465-10000</f>
        <v>65</v>
      </c>
      <c r="AL172" s="106">
        <f t="shared" si="189"/>
        <v>139535</v>
      </c>
      <c r="AM172" s="172"/>
      <c r="AN172" s="106">
        <v>146735</v>
      </c>
      <c r="AO172" s="106">
        <v>45299</v>
      </c>
      <c r="AP172" s="113">
        <f>48169+49442+5598</f>
        <v>103209</v>
      </c>
      <c r="AQ172" s="243">
        <v>72000</v>
      </c>
      <c r="AR172" s="275"/>
      <c r="AS172" s="244">
        <f t="shared" si="167"/>
        <v>72000</v>
      </c>
      <c r="AT172" s="103"/>
      <c r="AU172" s="159">
        <f t="shared" si="190"/>
        <v>0.5232101851582711</v>
      </c>
      <c r="AV172" s="103"/>
    </row>
    <row r="173" spans="1:48" ht="12.75" hidden="1">
      <c r="A173" s="21"/>
      <c r="B173" s="27">
        <v>4350</v>
      </c>
      <c r="C173" s="18" t="s">
        <v>55</v>
      </c>
      <c r="D173" s="104">
        <v>3700</v>
      </c>
      <c r="E173" s="106"/>
      <c r="F173" s="106">
        <f t="shared" si="191"/>
        <v>3700</v>
      </c>
      <c r="G173" s="109"/>
      <c r="H173" s="106">
        <f t="shared" si="192"/>
        <v>3700</v>
      </c>
      <c r="I173" s="109"/>
      <c r="J173" s="106">
        <f t="shared" si="193"/>
        <v>3700</v>
      </c>
      <c r="K173" s="110"/>
      <c r="L173" s="106">
        <f t="shared" si="178"/>
        <v>3700</v>
      </c>
      <c r="M173" s="109"/>
      <c r="N173" s="106">
        <f t="shared" si="179"/>
        <v>3700</v>
      </c>
      <c r="O173" s="106"/>
      <c r="P173" s="106">
        <f t="shared" si="179"/>
        <v>3700</v>
      </c>
      <c r="Q173" s="109"/>
      <c r="R173" s="106">
        <f t="shared" si="179"/>
        <v>3700</v>
      </c>
      <c r="S173" s="109"/>
      <c r="T173" s="106">
        <f t="shared" si="180"/>
        <v>3700</v>
      </c>
      <c r="U173" s="109"/>
      <c r="V173" s="106">
        <f t="shared" si="181"/>
        <v>3700</v>
      </c>
      <c r="W173" s="109"/>
      <c r="X173" s="106">
        <f t="shared" si="182"/>
        <v>3700</v>
      </c>
      <c r="Y173" s="109"/>
      <c r="Z173" s="106">
        <f t="shared" si="183"/>
        <v>3700</v>
      </c>
      <c r="AA173" s="109"/>
      <c r="AB173" s="106">
        <f t="shared" si="184"/>
        <v>3700</v>
      </c>
      <c r="AC173" s="109"/>
      <c r="AD173" s="106">
        <f t="shared" si="185"/>
        <v>3700</v>
      </c>
      <c r="AE173" s="109"/>
      <c r="AF173" s="106">
        <f t="shared" si="186"/>
        <v>3700</v>
      </c>
      <c r="AG173" s="147">
        <v>180</v>
      </c>
      <c r="AH173" s="106">
        <f t="shared" si="187"/>
        <v>3880</v>
      </c>
      <c r="AI173" s="109"/>
      <c r="AJ173" s="106">
        <f t="shared" si="188"/>
        <v>3880</v>
      </c>
      <c r="AK173" s="109"/>
      <c r="AL173" s="106">
        <f t="shared" si="189"/>
        <v>3880</v>
      </c>
      <c r="AM173" s="109"/>
      <c r="AN173" s="106">
        <v>3380</v>
      </c>
      <c r="AO173" s="106">
        <v>657</v>
      </c>
      <c r="AP173" s="113">
        <v>697</v>
      </c>
      <c r="AQ173" s="243">
        <v>3600</v>
      </c>
      <c r="AR173" s="275"/>
      <c r="AS173" s="244">
        <f t="shared" si="167"/>
        <v>3600</v>
      </c>
      <c r="AT173" s="103"/>
      <c r="AU173" s="159">
        <f t="shared" si="190"/>
        <v>3.873744619799139</v>
      </c>
      <c r="AV173" s="103"/>
    </row>
    <row r="174" spans="1:48" ht="25.5" hidden="1">
      <c r="A174" s="21"/>
      <c r="B174" s="27">
        <v>4360</v>
      </c>
      <c r="C174" s="18" t="s">
        <v>46</v>
      </c>
      <c r="D174" s="104">
        <v>2000</v>
      </c>
      <c r="E174" s="106">
        <v>2000</v>
      </c>
      <c r="F174" s="106">
        <f t="shared" si="191"/>
        <v>4000</v>
      </c>
      <c r="G174" s="109"/>
      <c r="H174" s="106">
        <f t="shared" si="192"/>
        <v>4000</v>
      </c>
      <c r="I174" s="109"/>
      <c r="J174" s="106">
        <f t="shared" si="193"/>
        <v>4000</v>
      </c>
      <c r="K174" s="110"/>
      <c r="L174" s="106">
        <f t="shared" si="178"/>
        <v>4000</v>
      </c>
      <c r="M174" s="109"/>
      <c r="N174" s="106">
        <f t="shared" si="179"/>
        <v>4000</v>
      </c>
      <c r="O174" s="106"/>
      <c r="P174" s="106">
        <f t="shared" si="179"/>
        <v>4000</v>
      </c>
      <c r="Q174" s="109"/>
      <c r="R174" s="106">
        <f t="shared" si="179"/>
        <v>4000</v>
      </c>
      <c r="S174" s="109"/>
      <c r="T174" s="106">
        <f t="shared" si="180"/>
        <v>4000</v>
      </c>
      <c r="U174" s="109"/>
      <c r="V174" s="106">
        <f t="shared" si="181"/>
        <v>4000</v>
      </c>
      <c r="W174" s="109"/>
      <c r="X174" s="106">
        <f t="shared" si="182"/>
        <v>4000</v>
      </c>
      <c r="Y174" s="109"/>
      <c r="Z174" s="106">
        <f t="shared" si="183"/>
        <v>4000</v>
      </c>
      <c r="AA174" s="109"/>
      <c r="AB174" s="106">
        <f t="shared" si="184"/>
        <v>4000</v>
      </c>
      <c r="AC174" s="109"/>
      <c r="AD174" s="106">
        <f t="shared" si="185"/>
        <v>4000</v>
      </c>
      <c r="AE174" s="109"/>
      <c r="AF174" s="106">
        <f t="shared" si="186"/>
        <v>4000</v>
      </c>
      <c r="AG174" s="147"/>
      <c r="AH174" s="106">
        <f t="shared" si="187"/>
        <v>4000</v>
      </c>
      <c r="AI174" s="109"/>
      <c r="AJ174" s="106">
        <f t="shared" si="188"/>
        <v>4000</v>
      </c>
      <c r="AK174" s="109"/>
      <c r="AL174" s="106">
        <f t="shared" si="189"/>
        <v>4000</v>
      </c>
      <c r="AM174" s="109"/>
      <c r="AN174" s="106">
        <f>AM174+AL174</f>
        <v>4000</v>
      </c>
      <c r="AO174" s="106">
        <v>0</v>
      </c>
      <c r="AP174" s="113">
        <v>2251</v>
      </c>
      <c r="AQ174" s="243">
        <v>3500</v>
      </c>
      <c r="AR174" s="275"/>
      <c r="AS174" s="244">
        <f t="shared" si="167"/>
        <v>3500</v>
      </c>
      <c r="AT174" s="103"/>
      <c r="AU174" s="159">
        <f t="shared" si="190"/>
        <v>1.166148378498445</v>
      </c>
      <c r="AV174" s="103">
        <f>AP174/3*4</f>
        <v>3001.3333333333335</v>
      </c>
    </row>
    <row r="175" spans="1:48" ht="25.5" hidden="1">
      <c r="A175" s="21"/>
      <c r="B175" s="27">
        <v>4370</v>
      </c>
      <c r="C175" s="18" t="s">
        <v>47</v>
      </c>
      <c r="D175" s="104">
        <v>11600</v>
      </c>
      <c r="E175" s="106"/>
      <c r="F175" s="106">
        <f t="shared" si="191"/>
        <v>11600</v>
      </c>
      <c r="G175" s="109"/>
      <c r="H175" s="106">
        <f t="shared" si="192"/>
        <v>11600</v>
      </c>
      <c r="I175" s="109"/>
      <c r="J175" s="106">
        <f t="shared" si="193"/>
        <v>11600</v>
      </c>
      <c r="K175" s="110"/>
      <c r="L175" s="106">
        <f t="shared" si="178"/>
        <v>11600</v>
      </c>
      <c r="M175" s="109"/>
      <c r="N175" s="106">
        <f t="shared" si="179"/>
        <v>11600</v>
      </c>
      <c r="O175" s="106"/>
      <c r="P175" s="106">
        <f t="shared" si="179"/>
        <v>11600</v>
      </c>
      <c r="Q175" s="109"/>
      <c r="R175" s="106">
        <f t="shared" si="179"/>
        <v>11600</v>
      </c>
      <c r="S175" s="109"/>
      <c r="T175" s="106">
        <f t="shared" si="180"/>
        <v>11600</v>
      </c>
      <c r="U175" s="109"/>
      <c r="V175" s="106">
        <f t="shared" si="181"/>
        <v>11600</v>
      </c>
      <c r="W175" s="109"/>
      <c r="X175" s="106">
        <f t="shared" si="182"/>
        <v>11600</v>
      </c>
      <c r="Y175" s="109"/>
      <c r="Z175" s="106">
        <f t="shared" si="183"/>
        <v>11600</v>
      </c>
      <c r="AA175" s="109"/>
      <c r="AB175" s="106">
        <f t="shared" si="184"/>
        <v>11600</v>
      </c>
      <c r="AC175" s="109"/>
      <c r="AD175" s="106">
        <f t="shared" si="185"/>
        <v>11600</v>
      </c>
      <c r="AE175" s="109"/>
      <c r="AF175" s="106">
        <f t="shared" si="186"/>
        <v>11600</v>
      </c>
      <c r="AG175" s="147">
        <v>-1000</v>
      </c>
      <c r="AH175" s="106">
        <f t="shared" si="187"/>
        <v>10600</v>
      </c>
      <c r="AI175" s="109"/>
      <c r="AJ175" s="106">
        <f t="shared" si="188"/>
        <v>10600</v>
      </c>
      <c r="AK175" s="109"/>
      <c r="AL175" s="106">
        <f t="shared" si="189"/>
        <v>10600</v>
      </c>
      <c r="AM175" s="109"/>
      <c r="AN175" s="106">
        <v>9800</v>
      </c>
      <c r="AO175" s="106">
        <v>7909</v>
      </c>
      <c r="AP175" s="113">
        <v>4582</v>
      </c>
      <c r="AQ175" s="243">
        <v>9800</v>
      </c>
      <c r="AR175" s="275"/>
      <c r="AS175" s="244">
        <f t="shared" si="167"/>
        <v>9800</v>
      </c>
      <c r="AT175" s="103"/>
      <c r="AU175" s="159">
        <f t="shared" si="190"/>
        <v>1.6041030117852466</v>
      </c>
      <c r="AV175" s="103">
        <f>AP175/3*4</f>
        <v>6109.333333333333</v>
      </c>
    </row>
    <row r="176" spans="1:48" ht="12.75" hidden="1">
      <c r="A176" s="21"/>
      <c r="B176" s="27">
        <v>4410</v>
      </c>
      <c r="C176" s="18" t="s">
        <v>48</v>
      </c>
      <c r="D176" s="104">
        <v>10000</v>
      </c>
      <c r="E176" s="106"/>
      <c r="F176" s="106">
        <f t="shared" si="191"/>
        <v>10000</v>
      </c>
      <c r="G176" s="109"/>
      <c r="H176" s="106">
        <f t="shared" si="192"/>
        <v>10000</v>
      </c>
      <c r="I176" s="109"/>
      <c r="J176" s="106">
        <f t="shared" si="193"/>
        <v>10000</v>
      </c>
      <c r="K176" s="110"/>
      <c r="L176" s="106">
        <f t="shared" si="178"/>
        <v>10000</v>
      </c>
      <c r="M176" s="109"/>
      <c r="N176" s="106">
        <f t="shared" si="179"/>
        <v>10000</v>
      </c>
      <c r="O176" s="106"/>
      <c r="P176" s="106">
        <f t="shared" si="179"/>
        <v>10000</v>
      </c>
      <c r="Q176" s="109"/>
      <c r="R176" s="106">
        <f t="shared" si="179"/>
        <v>10000</v>
      </c>
      <c r="S176" s="109"/>
      <c r="T176" s="106">
        <f t="shared" si="180"/>
        <v>10000</v>
      </c>
      <c r="U176" s="109"/>
      <c r="V176" s="106">
        <f t="shared" si="181"/>
        <v>10000</v>
      </c>
      <c r="W176" s="109"/>
      <c r="X176" s="106">
        <f t="shared" si="182"/>
        <v>10000</v>
      </c>
      <c r="Y176" s="109"/>
      <c r="Z176" s="106">
        <f t="shared" si="183"/>
        <v>10000</v>
      </c>
      <c r="AA176" s="109"/>
      <c r="AB176" s="106">
        <f t="shared" si="184"/>
        <v>10000</v>
      </c>
      <c r="AC176" s="109"/>
      <c r="AD176" s="106">
        <f t="shared" si="185"/>
        <v>10000</v>
      </c>
      <c r="AE176" s="109">
        <v>-600</v>
      </c>
      <c r="AF176" s="106">
        <f t="shared" si="186"/>
        <v>9400</v>
      </c>
      <c r="AG176" s="147">
        <v>-1180</v>
      </c>
      <c r="AH176" s="106">
        <f t="shared" si="187"/>
        <v>8220</v>
      </c>
      <c r="AI176" s="109"/>
      <c r="AJ176" s="106">
        <f t="shared" si="188"/>
        <v>8220</v>
      </c>
      <c r="AK176" s="109"/>
      <c r="AL176" s="106">
        <f t="shared" si="189"/>
        <v>8220</v>
      </c>
      <c r="AM176" s="109"/>
      <c r="AN176" s="106">
        <v>7220</v>
      </c>
      <c r="AO176" s="106">
        <v>5344</v>
      </c>
      <c r="AP176" s="113">
        <v>3531</v>
      </c>
      <c r="AQ176" s="243">
        <v>6000</v>
      </c>
      <c r="AR176" s="275"/>
      <c r="AS176" s="244">
        <f t="shared" si="167"/>
        <v>6000</v>
      </c>
      <c r="AT176" s="103"/>
      <c r="AU176" s="159">
        <f t="shared" si="190"/>
        <v>1.274426508071368</v>
      </c>
      <c r="AV176" s="103">
        <f aca="true" t="shared" si="194" ref="AV176:AV195">AP176/3*4</f>
        <v>4708</v>
      </c>
    </row>
    <row r="177" spans="1:48" ht="12.75" hidden="1">
      <c r="A177" s="21"/>
      <c r="B177" s="27">
        <v>4430</v>
      </c>
      <c r="C177" s="18" t="s">
        <v>16</v>
      </c>
      <c r="D177" s="104">
        <v>17500</v>
      </c>
      <c r="E177" s="106"/>
      <c r="F177" s="106">
        <f t="shared" si="191"/>
        <v>17500</v>
      </c>
      <c r="G177" s="109"/>
      <c r="H177" s="106">
        <f t="shared" si="192"/>
        <v>17500</v>
      </c>
      <c r="I177" s="109"/>
      <c r="J177" s="106">
        <f t="shared" si="193"/>
        <v>17500</v>
      </c>
      <c r="K177" s="110"/>
      <c r="L177" s="106">
        <f t="shared" si="178"/>
        <v>17500</v>
      </c>
      <c r="M177" s="109"/>
      <c r="N177" s="106">
        <f t="shared" si="179"/>
        <v>17500</v>
      </c>
      <c r="O177" s="106"/>
      <c r="P177" s="106">
        <f t="shared" si="179"/>
        <v>17500</v>
      </c>
      <c r="Q177" s="109"/>
      <c r="R177" s="106">
        <f t="shared" si="179"/>
        <v>17500</v>
      </c>
      <c r="S177" s="109"/>
      <c r="T177" s="106">
        <f t="shared" si="180"/>
        <v>17500</v>
      </c>
      <c r="U177" s="109"/>
      <c r="V177" s="106">
        <f t="shared" si="181"/>
        <v>17500</v>
      </c>
      <c r="W177" s="109"/>
      <c r="X177" s="106">
        <f t="shared" si="182"/>
        <v>17500</v>
      </c>
      <c r="Y177" s="109"/>
      <c r="Z177" s="106">
        <f t="shared" si="183"/>
        <v>17500</v>
      </c>
      <c r="AA177" s="109"/>
      <c r="AB177" s="106">
        <f t="shared" si="184"/>
        <v>17500</v>
      </c>
      <c r="AC177" s="109"/>
      <c r="AD177" s="106">
        <f t="shared" si="185"/>
        <v>17500</v>
      </c>
      <c r="AE177" s="109"/>
      <c r="AF177" s="106">
        <f t="shared" si="186"/>
        <v>17500</v>
      </c>
      <c r="AG177" s="147"/>
      <c r="AH177" s="106">
        <f t="shared" si="187"/>
        <v>17500</v>
      </c>
      <c r="AI177" s="109"/>
      <c r="AJ177" s="106">
        <f t="shared" si="188"/>
        <v>17500</v>
      </c>
      <c r="AK177" s="109"/>
      <c r="AL177" s="106">
        <f t="shared" si="189"/>
        <v>17500</v>
      </c>
      <c r="AM177" s="109"/>
      <c r="AN177" s="106">
        <v>13650</v>
      </c>
      <c r="AO177" s="106">
        <v>10654</v>
      </c>
      <c r="AP177" s="113">
        <v>3422</v>
      </c>
      <c r="AQ177" s="243">
        <v>6000</v>
      </c>
      <c r="AR177" s="275"/>
      <c r="AS177" s="244">
        <f t="shared" si="167"/>
        <v>6000</v>
      </c>
      <c r="AT177" s="103"/>
      <c r="AU177" s="159">
        <f t="shared" si="190"/>
        <v>1.315020455873758</v>
      </c>
      <c r="AV177" s="103">
        <f t="shared" si="194"/>
        <v>4562.666666666667</v>
      </c>
    </row>
    <row r="178" spans="1:50" ht="12.75" hidden="1">
      <c r="A178" s="21"/>
      <c r="B178" s="27">
        <v>4440</v>
      </c>
      <c r="C178" s="18" t="s">
        <v>50</v>
      </c>
      <c r="D178" s="104">
        <v>187308</v>
      </c>
      <c r="E178" s="106"/>
      <c r="F178" s="106">
        <f t="shared" si="191"/>
        <v>187308</v>
      </c>
      <c r="G178" s="109"/>
      <c r="H178" s="106">
        <f t="shared" si="192"/>
        <v>187308</v>
      </c>
      <c r="I178" s="109"/>
      <c r="J178" s="106">
        <f t="shared" si="193"/>
        <v>187308</v>
      </c>
      <c r="K178" s="110"/>
      <c r="L178" s="106">
        <f t="shared" si="178"/>
        <v>187308</v>
      </c>
      <c r="M178" s="109"/>
      <c r="N178" s="106">
        <f t="shared" si="179"/>
        <v>187308</v>
      </c>
      <c r="O178" s="106"/>
      <c r="P178" s="106">
        <f t="shared" si="179"/>
        <v>187308</v>
      </c>
      <c r="Q178" s="109"/>
      <c r="R178" s="106">
        <f t="shared" si="179"/>
        <v>187308</v>
      </c>
      <c r="S178" s="109"/>
      <c r="T178" s="106">
        <f t="shared" si="180"/>
        <v>187308</v>
      </c>
      <c r="U178" s="109"/>
      <c r="V178" s="106">
        <f t="shared" si="181"/>
        <v>187308</v>
      </c>
      <c r="W178" s="109"/>
      <c r="X178" s="106">
        <f t="shared" si="182"/>
        <v>187308</v>
      </c>
      <c r="Y178" s="109"/>
      <c r="Z178" s="106">
        <f t="shared" si="183"/>
        <v>187308</v>
      </c>
      <c r="AA178" s="109"/>
      <c r="AB178" s="106">
        <f t="shared" si="184"/>
        <v>187308</v>
      </c>
      <c r="AC178" s="109"/>
      <c r="AD178" s="106">
        <f t="shared" si="185"/>
        <v>187308</v>
      </c>
      <c r="AE178" s="109"/>
      <c r="AF178" s="106">
        <f t="shared" si="186"/>
        <v>187308</v>
      </c>
      <c r="AG178" s="147"/>
      <c r="AH178" s="106">
        <f t="shared" si="187"/>
        <v>187308</v>
      </c>
      <c r="AI178" s="109"/>
      <c r="AJ178" s="106">
        <f t="shared" si="188"/>
        <v>187308</v>
      </c>
      <c r="AK178" s="109"/>
      <c r="AL178" s="106">
        <f t="shared" si="189"/>
        <v>187308</v>
      </c>
      <c r="AM178" s="109"/>
      <c r="AN178" s="106">
        <f>AM178+AL178</f>
        <v>187308</v>
      </c>
      <c r="AO178" s="106">
        <v>183280</v>
      </c>
      <c r="AP178" s="113">
        <v>140500</v>
      </c>
      <c r="AQ178" s="243">
        <v>213488</v>
      </c>
      <c r="AR178" s="275"/>
      <c r="AS178" s="244">
        <f t="shared" si="167"/>
        <v>213488</v>
      </c>
      <c r="AT178" s="103"/>
      <c r="AU178" s="159">
        <f t="shared" si="190"/>
        <v>1.1396156583629893</v>
      </c>
      <c r="AV178" s="103">
        <f t="shared" si="194"/>
        <v>187333.33333333334</v>
      </c>
      <c r="AX178">
        <f>5761713-5747113</f>
        <v>14600</v>
      </c>
    </row>
    <row r="179" spans="1:53" ht="25.5" hidden="1">
      <c r="A179" s="21"/>
      <c r="B179" s="27">
        <v>4740</v>
      </c>
      <c r="C179" s="18" t="s">
        <v>52</v>
      </c>
      <c r="D179" s="104">
        <v>8600</v>
      </c>
      <c r="E179" s="106"/>
      <c r="F179" s="106">
        <f t="shared" si="191"/>
        <v>8600</v>
      </c>
      <c r="G179" s="109"/>
      <c r="H179" s="106">
        <f t="shared" si="192"/>
        <v>8600</v>
      </c>
      <c r="I179" s="109"/>
      <c r="J179" s="106">
        <f t="shared" si="193"/>
        <v>8600</v>
      </c>
      <c r="K179" s="110"/>
      <c r="L179" s="106">
        <f t="shared" si="178"/>
        <v>8600</v>
      </c>
      <c r="M179" s="109"/>
      <c r="N179" s="106">
        <f t="shared" si="179"/>
        <v>8600</v>
      </c>
      <c r="O179" s="106"/>
      <c r="P179" s="106">
        <f t="shared" si="179"/>
        <v>8600</v>
      </c>
      <c r="Q179" s="109"/>
      <c r="R179" s="106">
        <f t="shared" si="179"/>
        <v>8600</v>
      </c>
      <c r="S179" s="109"/>
      <c r="T179" s="106">
        <f t="shared" si="180"/>
        <v>8600</v>
      </c>
      <c r="U179" s="109"/>
      <c r="V179" s="106">
        <f t="shared" si="181"/>
        <v>8600</v>
      </c>
      <c r="W179" s="109"/>
      <c r="X179" s="106">
        <f t="shared" si="182"/>
        <v>8600</v>
      </c>
      <c r="Y179" s="109"/>
      <c r="Z179" s="106">
        <f t="shared" si="183"/>
        <v>8600</v>
      </c>
      <c r="AA179" s="109"/>
      <c r="AB179" s="106">
        <f t="shared" si="184"/>
        <v>8600</v>
      </c>
      <c r="AC179" s="109">
        <v>-1000</v>
      </c>
      <c r="AD179" s="106">
        <f t="shared" si="185"/>
        <v>7600</v>
      </c>
      <c r="AE179" s="109"/>
      <c r="AF179" s="106">
        <f t="shared" si="186"/>
        <v>7600</v>
      </c>
      <c r="AG179" s="147"/>
      <c r="AH179" s="106">
        <f t="shared" si="187"/>
        <v>7600</v>
      </c>
      <c r="AI179" s="109"/>
      <c r="AJ179" s="106">
        <f t="shared" si="188"/>
        <v>7600</v>
      </c>
      <c r="AK179" s="109"/>
      <c r="AL179" s="106">
        <f t="shared" si="189"/>
        <v>7600</v>
      </c>
      <c r="AM179" s="109"/>
      <c r="AN179" s="106">
        <v>8460</v>
      </c>
      <c r="AO179" s="106">
        <v>5795</v>
      </c>
      <c r="AP179" s="113">
        <v>2558</v>
      </c>
      <c r="AQ179" s="243">
        <v>7000</v>
      </c>
      <c r="AR179" s="275"/>
      <c r="AS179" s="244">
        <f t="shared" si="167"/>
        <v>7000</v>
      </c>
      <c r="AT179" s="103"/>
      <c r="AU179" s="159">
        <f t="shared" si="190"/>
        <v>2.052384675527756</v>
      </c>
      <c r="AV179" s="103">
        <f t="shared" si="194"/>
        <v>3410.6666666666665</v>
      </c>
      <c r="AX179">
        <f>97600-47500</f>
        <v>50100</v>
      </c>
      <c r="AY179">
        <f>97600-70000</f>
        <v>27600</v>
      </c>
      <c r="AZ179">
        <f>70000+60500</f>
        <v>130500</v>
      </c>
      <c r="BA179">
        <f>83000+47500</f>
        <v>130500</v>
      </c>
    </row>
    <row r="180" spans="1:52" ht="12.75" hidden="1">
      <c r="A180" s="21"/>
      <c r="B180" s="27">
        <v>4750</v>
      </c>
      <c r="C180" s="18" t="s">
        <v>53</v>
      </c>
      <c r="D180" s="104">
        <v>16000</v>
      </c>
      <c r="E180" s="106"/>
      <c r="F180" s="106">
        <f t="shared" si="191"/>
        <v>16000</v>
      </c>
      <c r="G180" s="109"/>
      <c r="H180" s="106">
        <f t="shared" si="192"/>
        <v>16000</v>
      </c>
      <c r="I180" s="109"/>
      <c r="J180" s="106">
        <f t="shared" si="193"/>
        <v>16000</v>
      </c>
      <c r="K180" s="110"/>
      <c r="L180" s="106">
        <f t="shared" si="178"/>
        <v>16000</v>
      </c>
      <c r="M180" s="109"/>
      <c r="N180" s="106">
        <f t="shared" si="179"/>
        <v>16000</v>
      </c>
      <c r="O180" s="106"/>
      <c r="P180" s="106">
        <f t="shared" si="179"/>
        <v>16000</v>
      </c>
      <c r="Q180" s="109"/>
      <c r="R180" s="106">
        <f t="shared" si="179"/>
        <v>16000</v>
      </c>
      <c r="S180" s="109"/>
      <c r="T180" s="106">
        <f t="shared" si="180"/>
        <v>16000</v>
      </c>
      <c r="U180" s="109"/>
      <c r="V180" s="106">
        <f t="shared" si="181"/>
        <v>16000</v>
      </c>
      <c r="W180" s="109"/>
      <c r="X180" s="106">
        <f t="shared" si="182"/>
        <v>16000</v>
      </c>
      <c r="Y180" s="109"/>
      <c r="Z180" s="106">
        <f t="shared" si="183"/>
        <v>16000</v>
      </c>
      <c r="AA180" s="109"/>
      <c r="AB180" s="106">
        <f t="shared" si="184"/>
        <v>16000</v>
      </c>
      <c r="AC180" s="109">
        <v>-3000</v>
      </c>
      <c r="AD180" s="106">
        <f t="shared" si="185"/>
        <v>13000</v>
      </c>
      <c r="AE180" s="109"/>
      <c r="AF180" s="106">
        <f t="shared" si="186"/>
        <v>13000</v>
      </c>
      <c r="AG180" s="147"/>
      <c r="AH180" s="106">
        <f t="shared" si="187"/>
        <v>13000</v>
      </c>
      <c r="AI180" s="109"/>
      <c r="AJ180" s="106">
        <f t="shared" si="188"/>
        <v>13000</v>
      </c>
      <c r="AK180" s="109"/>
      <c r="AL180" s="106">
        <f t="shared" si="189"/>
        <v>13000</v>
      </c>
      <c r="AM180" s="109"/>
      <c r="AN180" s="106">
        <f>AM180+AL180</f>
        <v>13000</v>
      </c>
      <c r="AO180" s="106">
        <v>4767</v>
      </c>
      <c r="AP180" s="113">
        <v>8080</v>
      </c>
      <c r="AQ180" s="243">
        <v>13000</v>
      </c>
      <c r="AR180" s="275"/>
      <c r="AS180" s="244">
        <f t="shared" si="167"/>
        <v>13000</v>
      </c>
      <c r="AT180" s="103"/>
      <c r="AU180" s="159">
        <f t="shared" si="190"/>
        <v>1.2066831683168315</v>
      </c>
      <c r="AV180" s="103">
        <f t="shared" si="194"/>
        <v>10773.333333333334</v>
      </c>
      <c r="AY180">
        <f>-60500+47500</f>
        <v>-13000</v>
      </c>
      <c r="AZ180">
        <f>97600+47500</f>
        <v>145100</v>
      </c>
    </row>
    <row r="181" spans="1:52" ht="12.75" hidden="1">
      <c r="A181" s="21"/>
      <c r="B181" s="27">
        <v>6050</v>
      </c>
      <c r="C181" s="18" t="s">
        <v>26</v>
      </c>
      <c r="D181" s="104">
        <v>0</v>
      </c>
      <c r="E181" s="106"/>
      <c r="F181" s="106">
        <f t="shared" si="191"/>
        <v>0</v>
      </c>
      <c r="G181" s="109"/>
      <c r="H181" s="106">
        <f t="shared" si="192"/>
        <v>0</v>
      </c>
      <c r="I181" s="109"/>
      <c r="J181" s="106">
        <f t="shared" si="193"/>
        <v>0</v>
      </c>
      <c r="K181" s="110"/>
      <c r="L181" s="106">
        <f t="shared" si="178"/>
        <v>0</v>
      </c>
      <c r="M181" s="109">
        <v>20000</v>
      </c>
      <c r="N181" s="106">
        <f t="shared" si="179"/>
        <v>20000</v>
      </c>
      <c r="O181" s="106"/>
      <c r="P181" s="106">
        <f t="shared" si="179"/>
        <v>20000</v>
      </c>
      <c r="Q181" s="109">
        <v>-20000</v>
      </c>
      <c r="R181" s="106">
        <f t="shared" si="179"/>
        <v>0</v>
      </c>
      <c r="S181" s="109"/>
      <c r="T181" s="106">
        <f t="shared" si="180"/>
        <v>0</v>
      </c>
      <c r="U181" s="109">
        <f>120000+60000+50000</f>
        <v>230000</v>
      </c>
      <c r="V181" s="106">
        <f t="shared" si="181"/>
        <v>230000</v>
      </c>
      <c r="W181" s="109"/>
      <c r="X181" s="106">
        <f t="shared" si="182"/>
        <v>230000</v>
      </c>
      <c r="Y181" s="109"/>
      <c r="Z181" s="106">
        <f t="shared" si="183"/>
        <v>230000</v>
      </c>
      <c r="AA181" s="109"/>
      <c r="AB181" s="106">
        <f t="shared" si="184"/>
        <v>230000</v>
      </c>
      <c r="AC181" s="109"/>
      <c r="AD181" s="106">
        <f t="shared" si="185"/>
        <v>230000</v>
      </c>
      <c r="AE181" s="109"/>
      <c r="AF181" s="106">
        <f t="shared" si="186"/>
        <v>230000</v>
      </c>
      <c r="AG181" s="147">
        <v>-106970</v>
      </c>
      <c r="AH181" s="106">
        <f t="shared" si="187"/>
        <v>123030</v>
      </c>
      <c r="AI181" s="109"/>
      <c r="AJ181" s="106">
        <f t="shared" si="188"/>
        <v>123030</v>
      </c>
      <c r="AK181" s="109"/>
      <c r="AL181" s="106">
        <f t="shared" si="189"/>
        <v>123030</v>
      </c>
      <c r="AM181" s="109"/>
      <c r="AN181" s="106">
        <f>AM181+AL181</f>
        <v>123030</v>
      </c>
      <c r="AO181" s="106">
        <v>0</v>
      </c>
      <c r="AP181" s="113">
        <f>71431+42247+1185</f>
        <v>114863</v>
      </c>
      <c r="AQ181" s="243">
        <v>0</v>
      </c>
      <c r="AR181" s="275"/>
      <c r="AS181" s="244">
        <f t="shared" si="167"/>
        <v>0</v>
      </c>
      <c r="AT181" s="103"/>
      <c r="AU181" s="159">
        <f t="shared" si="190"/>
        <v>0</v>
      </c>
      <c r="AV181" s="103">
        <f t="shared" si="194"/>
        <v>153150.66666666666</v>
      </c>
      <c r="AY181">
        <f>SUM(AY179:AY180)</f>
        <v>14600</v>
      </c>
      <c r="AZ181">
        <f>AZ179-AZ180</f>
        <v>-14600</v>
      </c>
    </row>
    <row r="182" spans="1:52" ht="12.75" hidden="1">
      <c r="A182" s="31">
        <v>80103</v>
      </c>
      <c r="B182" s="26"/>
      <c r="C182" s="19" t="s">
        <v>75</v>
      </c>
      <c r="D182" s="190">
        <f aca="true" t="shared" si="195" ref="D182:J182">SUM(D183:D196)</f>
        <v>458835</v>
      </c>
      <c r="E182" s="190">
        <f t="shared" si="195"/>
        <v>0</v>
      </c>
      <c r="F182" s="190">
        <f t="shared" si="195"/>
        <v>458835</v>
      </c>
      <c r="G182" s="190">
        <f t="shared" si="195"/>
        <v>-183934</v>
      </c>
      <c r="H182" s="190">
        <f t="shared" si="195"/>
        <v>274901</v>
      </c>
      <c r="I182" s="190">
        <f t="shared" si="195"/>
        <v>0</v>
      </c>
      <c r="J182" s="190">
        <f t="shared" si="195"/>
        <v>274901</v>
      </c>
      <c r="K182" s="203"/>
      <c r="L182" s="190">
        <f>SUM(L183:L196)</f>
        <v>274901</v>
      </c>
      <c r="M182" s="190"/>
      <c r="N182" s="190">
        <f>SUM(N183:N196)</f>
        <v>274901</v>
      </c>
      <c r="O182" s="190"/>
      <c r="P182" s="190">
        <f>SUM(P183:P196)</f>
        <v>274901</v>
      </c>
      <c r="Q182" s="190"/>
      <c r="R182" s="190">
        <f>SUM(R183:R196)</f>
        <v>274901</v>
      </c>
      <c r="S182" s="190"/>
      <c r="T182" s="190">
        <f aca="true" t="shared" si="196" ref="T182:Z182">SUM(T183:T196)</f>
        <v>274901</v>
      </c>
      <c r="U182" s="190">
        <f t="shared" si="196"/>
        <v>45000</v>
      </c>
      <c r="V182" s="190">
        <f t="shared" si="196"/>
        <v>319901</v>
      </c>
      <c r="W182" s="190">
        <f t="shared" si="196"/>
        <v>0</v>
      </c>
      <c r="X182" s="190">
        <f t="shared" si="196"/>
        <v>319901</v>
      </c>
      <c r="Y182" s="190">
        <f t="shared" si="196"/>
        <v>0</v>
      </c>
      <c r="Z182" s="190">
        <f t="shared" si="196"/>
        <v>319901</v>
      </c>
      <c r="AA182" s="190">
        <f aca="true" t="shared" si="197" ref="AA182:AF182">SUM(AA183:AA196)</f>
        <v>-3000</v>
      </c>
      <c r="AB182" s="190">
        <f t="shared" si="197"/>
        <v>316901</v>
      </c>
      <c r="AC182" s="190">
        <f t="shared" si="197"/>
        <v>0</v>
      </c>
      <c r="AD182" s="190">
        <f t="shared" si="197"/>
        <v>316901</v>
      </c>
      <c r="AE182" s="190">
        <f t="shared" si="197"/>
        <v>0</v>
      </c>
      <c r="AF182" s="190">
        <f t="shared" si="197"/>
        <v>316901</v>
      </c>
      <c r="AG182" s="191">
        <f aca="true" t="shared" si="198" ref="AG182:AL182">SUM(AG183:AG196)</f>
        <v>0</v>
      </c>
      <c r="AH182" s="190">
        <f t="shared" si="198"/>
        <v>316901</v>
      </c>
      <c r="AI182" s="190">
        <f t="shared" si="198"/>
        <v>0</v>
      </c>
      <c r="AJ182" s="190">
        <f t="shared" si="198"/>
        <v>316901</v>
      </c>
      <c r="AK182" s="190">
        <f t="shared" si="198"/>
        <v>-5200</v>
      </c>
      <c r="AL182" s="190">
        <f t="shared" si="198"/>
        <v>311701</v>
      </c>
      <c r="AM182" s="190">
        <f>SUM(AM183:AM196)</f>
        <v>0</v>
      </c>
      <c r="AN182" s="190">
        <f>SUM(AN183:AN196)</f>
        <v>299421</v>
      </c>
      <c r="AO182" s="190">
        <f>SUM(AO183:AO196)</f>
        <v>200319</v>
      </c>
      <c r="AP182" s="81">
        <f>SUM(AP183:AP196)</f>
        <v>178105</v>
      </c>
      <c r="AQ182" s="247">
        <f>SUM(AQ183:AQ196)</f>
        <v>318999</v>
      </c>
      <c r="AR182" s="274"/>
      <c r="AS182" s="244">
        <f t="shared" si="167"/>
        <v>318999</v>
      </c>
      <c r="AT182" s="103"/>
      <c r="AU182" s="159">
        <f t="shared" si="190"/>
        <v>1.3433045113837343</v>
      </c>
      <c r="AV182" s="103">
        <f t="shared" si="194"/>
        <v>237473.33333333334</v>
      </c>
      <c r="AZ182">
        <f>47500-4600</f>
        <v>42900</v>
      </c>
    </row>
    <row r="183" spans="1:48" ht="12.75" hidden="1">
      <c r="A183" s="31"/>
      <c r="B183" s="27">
        <v>3020</v>
      </c>
      <c r="C183" s="18" t="s">
        <v>73</v>
      </c>
      <c r="D183" s="104">
        <v>21992</v>
      </c>
      <c r="E183" s="106"/>
      <c r="F183" s="106">
        <f t="shared" si="191"/>
        <v>21992</v>
      </c>
      <c r="G183" s="109">
        <v>-6129</v>
      </c>
      <c r="H183" s="106">
        <f t="shared" si="192"/>
        <v>15863</v>
      </c>
      <c r="I183" s="109"/>
      <c r="J183" s="106">
        <f aca="true" t="shared" si="199" ref="J183:J196">I183+H183</f>
        <v>15863</v>
      </c>
      <c r="K183" s="110"/>
      <c r="L183" s="106">
        <f aca="true" t="shared" si="200" ref="L183:L196">K183+H183</f>
        <v>15863</v>
      </c>
      <c r="M183" s="109"/>
      <c r="N183" s="106">
        <f aca="true" t="shared" si="201" ref="N183:R196">M183+L183</f>
        <v>15863</v>
      </c>
      <c r="O183" s="106"/>
      <c r="P183" s="106">
        <f t="shared" si="201"/>
        <v>15863</v>
      </c>
      <c r="Q183" s="109"/>
      <c r="R183" s="106">
        <f t="shared" si="201"/>
        <v>15863</v>
      </c>
      <c r="S183" s="109"/>
      <c r="T183" s="106">
        <f aca="true" t="shared" si="202" ref="T183:T196">S183+R183</f>
        <v>15863</v>
      </c>
      <c r="U183" s="202">
        <v>0</v>
      </c>
      <c r="V183" s="106">
        <f aca="true" t="shared" si="203" ref="V183:V196">U183+T183</f>
        <v>15863</v>
      </c>
      <c r="W183" s="202">
        <v>0</v>
      </c>
      <c r="X183" s="106">
        <f aca="true" t="shared" si="204" ref="X183:X196">W183+V183</f>
        <v>15863</v>
      </c>
      <c r="Y183" s="202">
        <v>0</v>
      </c>
      <c r="Z183" s="106">
        <f aca="true" t="shared" si="205" ref="Z183:Z196">Y183+X183</f>
        <v>15863</v>
      </c>
      <c r="AA183" s="202">
        <v>0</v>
      </c>
      <c r="AB183" s="106">
        <f aca="true" t="shared" si="206" ref="AB183:AB196">AA183+Z183</f>
        <v>15863</v>
      </c>
      <c r="AC183" s="172">
        <v>0</v>
      </c>
      <c r="AD183" s="106">
        <f aca="true" t="shared" si="207" ref="AD183:AD196">AC183+AB183</f>
        <v>15863</v>
      </c>
      <c r="AE183" s="172">
        <v>0</v>
      </c>
      <c r="AF183" s="106">
        <f aca="true" t="shared" si="208" ref="AF183:AF196">AE183+AD183</f>
        <v>15863</v>
      </c>
      <c r="AG183" s="198">
        <v>0</v>
      </c>
      <c r="AH183" s="106">
        <f aca="true" t="shared" si="209" ref="AH183:AH196">AG183+AF183</f>
        <v>15863</v>
      </c>
      <c r="AI183" s="172">
        <v>0</v>
      </c>
      <c r="AJ183" s="106">
        <f aca="true" t="shared" si="210" ref="AJ183:AJ196">AI183+AH183</f>
        <v>15863</v>
      </c>
      <c r="AK183" s="172">
        <v>10000</v>
      </c>
      <c r="AL183" s="106">
        <f aca="true" t="shared" si="211" ref="AL183:AL196">AK183+AJ183</f>
        <v>25863</v>
      </c>
      <c r="AM183" s="172"/>
      <c r="AN183" s="106">
        <v>26163</v>
      </c>
      <c r="AO183" s="106">
        <v>14802</v>
      </c>
      <c r="AP183" s="113">
        <v>14979</v>
      </c>
      <c r="AQ183" s="243">
        <v>28312</v>
      </c>
      <c r="AR183" s="275"/>
      <c r="AS183" s="244">
        <f t="shared" si="167"/>
        <v>28312</v>
      </c>
      <c r="AT183" s="103"/>
      <c r="AU183" s="159">
        <f t="shared" si="190"/>
        <v>1.4175846184658523</v>
      </c>
      <c r="AV183" s="103">
        <f t="shared" si="194"/>
        <v>19972</v>
      </c>
    </row>
    <row r="184" spans="1:48" ht="12.75" hidden="1">
      <c r="A184" s="31"/>
      <c r="B184" s="27">
        <v>4010</v>
      </c>
      <c r="C184" s="18" t="s">
        <v>37</v>
      </c>
      <c r="D184" s="104">
        <v>156187</v>
      </c>
      <c r="E184" s="106"/>
      <c r="F184" s="106">
        <f t="shared" si="191"/>
        <v>156187</v>
      </c>
      <c r="G184" s="109">
        <v>-60190</v>
      </c>
      <c r="H184" s="106">
        <f t="shared" si="192"/>
        <v>95997</v>
      </c>
      <c r="I184" s="109"/>
      <c r="J184" s="106">
        <f t="shared" si="199"/>
        <v>95997</v>
      </c>
      <c r="K184" s="110"/>
      <c r="L184" s="106">
        <f t="shared" si="200"/>
        <v>95997</v>
      </c>
      <c r="M184" s="109"/>
      <c r="N184" s="106">
        <f t="shared" si="201"/>
        <v>95997</v>
      </c>
      <c r="O184" s="106"/>
      <c r="P184" s="106">
        <f t="shared" si="201"/>
        <v>95997</v>
      </c>
      <c r="Q184" s="109"/>
      <c r="R184" s="106">
        <f t="shared" si="201"/>
        <v>95997</v>
      </c>
      <c r="S184" s="109"/>
      <c r="T184" s="106">
        <f t="shared" si="202"/>
        <v>95997</v>
      </c>
      <c r="U184" s="172">
        <v>20000</v>
      </c>
      <c r="V184" s="106">
        <f t="shared" si="203"/>
        <v>115997</v>
      </c>
      <c r="W184" s="172"/>
      <c r="X184" s="106">
        <f t="shared" si="204"/>
        <v>115997</v>
      </c>
      <c r="Y184" s="172"/>
      <c r="Z184" s="106">
        <f t="shared" si="205"/>
        <v>115997</v>
      </c>
      <c r="AA184" s="172"/>
      <c r="AB184" s="106">
        <f t="shared" si="206"/>
        <v>115997</v>
      </c>
      <c r="AC184" s="172"/>
      <c r="AD184" s="106">
        <f t="shared" si="207"/>
        <v>115997</v>
      </c>
      <c r="AE184" s="172"/>
      <c r="AF184" s="106">
        <f t="shared" si="208"/>
        <v>115997</v>
      </c>
      <c r="AG184" s="198"/>
      <c r="AH184" s="106">
        <f t="shared" si="209"/>
        <v>115997</v>
      </c>
      <c r="AI184" s="172"/>
      <c r="AJ184" s="106">
        <f t="shared" si="210"/>
        <v>115997</v>
      </c>
      <c r="AK184" s="172">
        <v>48000</v>
      </c>
      <c r="AL184" s="106">
        <f t="shared" si="211"/>
        <v>163997</v>
      </c>
      <c r="AM184" s="172"/>
      <c r="AN184" s="106">
        <f aca="true" t="shared" si="212" ref="AN184:AN196">AM184+AL184</f>
        <v>163997</v>
      </c>
      <c r="AO184" s="106">
        <v>116734</v>
      </c>
      <c r="AP184" s="113">
        <v>99771</v>
      </c>
      <c r="AQ184" s="243">
        <v>174543</v>
      </c>
      <c r="AR184" s="275"/>
      <c r="AS184" s="244">
        <f t="shared" si="167"/>
        <v>174543</v>
      </c>
      <c r="AT184" s="103"/>
      <c r="AU184" s="159">
        <f t="shared" si="190"/>
        <v>1.3120771566888174</v>
      </c>
      <c r="AV184" s="103">
        <f>AN184*101%</f>
        <v>165636.97</v>
      </c>
    </row>
    <row r="185" spans="1:48" ht="12.75" hidden="1">
      <c r="A185" s="31"/>
      <c r="B185" s="27">
        <v>4040</v>
      </c>
      <c r="C185" s="18" t="s">
        <v>38</v>
      </c>
      <c r="D185" s="104">
        <v>12046</v>
      </c>
      <c r="E185" s="106"/>
      <c r="F185" s="106">
        <f t="shared" si="191"/>
        <v>12046</v>
      </c>
      <c r="G185" s="109"/>
      <c r="H185" s="106">
        <f t="shared" si="192"/>
        <v>12046</v>
      </c>
      <c r="I185" s="109"/>
      <c r="J185" s="106">
        <f t="shared" si="199"/>
        <v>12046</v>
      </c>
      <c r="K185" s="110"/>
      <c r="L185" s="106">
        <f t="shared" si="200"/>
        <v>12046</v>
      </c>
      <c r="M185" s="109"/>
      <c r="N185" s="106">
        <f t="shared" si="201"/>
        <v>12046</v>
      </c>
      <c r="O185" s="106"/>
      <c r="P185" s="106">
        <f t="shared" si="201"/>
        <v>12046</v>
      </c>
      <c r="Q185" s="109"/>
      <c r="R185" s="106">
        <f t="shared" si="201"/>
        <v>12046</v>
      </c>
      <c r="S185" s="109"/>
      <c r="T185" s="106">
        <f t="shared" si="202"/>
        <v>12046</v>
      </c>
      <c r="U185" s="109"/>
      <c r="V185" s="106">
        <f t="shared" si="203"/>
        <v>12046</v>
      </c>
      <c r="W185" s="109"/>
      <c r="X185" s="106">
        <f t="shared" si="204"/>
        <v>12046</v>
      </c>
      <c r="Y185" s="109"/>
      <c r="Z185" s="106">
        <f t="shared" si="205"/>
        <v>12046</v>
      </c>
      <c r="AA185" s="109"/>
      <c r="AB185" s="106">
        <f t="shared" si="206"/>
        <v>12046</v>
      </c>
      <c r="AC185" s="172"/>
      <c r="AD185" s="106">
        <f t="shared" si="207"/>
        <v>12046</v>
      </c>
      <c r="AE185" s="172"/>
      <c r="AF185" s="106">
        <f t="shared" si="208"/>
        <v>12046</v>
      </c>
      <c r="AG185" s="198"/>
      <c r="AH185" s="106">
        <f t="shared" si="209"/>
        <v>12046</v>
      </c>
      <c r="AI185" s="172"/>
      <c r="AJ185" s="106">
        <f t="shared" si="210"/>
        <v>12046</v>
      </c>
      <c r="AK185" s="172"/>
      <c r="AL185" s="106">
        <f t="shared" si="211"/>
        <v>12046</v>
      </c>
      <c r="AM185" s="172"/>
      <c r="AN185" s="106">
        <v>10116</v>
      </c>
      <c r="AO185" s="106">
        <v>8005</v>
      </c>
      <c r="AP185" s="113">
        <v>9837</v>
      </c>
      <c r="AQ185" s="243">
        <v>14678</v>
      </c>
      <c r="AR185" s="275"/>
      <c r="AS185" s="244">
        <f t="shared" si="167"/>
        <v>14678</v>
      </c>
      <c r="AT185" s="103"/>
      <c r="AU185" s="159">
        <f t="shared" si="190"/>
        <v>1.1190911863372979</v>
      </c>
      <c r="AV185" s="103">
        <f t="shared" si="194"/>
        <v>13116</v>
      </c>
    </row>
    <row r="186" spans="1:48" ht="12.75" hidden="1">
      <c r="A186" s="31"/>
      <c r="B186" s="27">
        <v>4110</v>
      </c>
      <c r="C186" s="18" t="s">
        <v>39</v>
      </c>
      <c r="D186" s="104">
        <v>29322</v>
      </c>
      <c r="E186" s="106"/>
      <c r="F186" s="106">
        <f t="shared" si="191"/>
        <v>29322</v>
      </c>
      <c r="G186" s="109">
        <v>-1615</v>
      </c>
      <c r="H186" s="106">
        <f t="shared" si="192"/>
        <v>27707</v>
      </c>
      <c r="I186" s="109"/>
      <c r="J186" s="106">
        <f t="shared" si="199"/>
        <v>27707</v>
      </c>
      <c r="K186" s="110"/>
      <c r="L186" s="106">
        <f t="shared" si="200"/>
        <v>27707</v>
      </c>
      <c r="M186" s="109"/>
      <c r="N186" s="106">
        <f t="shared" si="201"/>
        <v>27707</v>
      </c>
      <c r="O186" s="106"/>
      <c r="P186" s="106">
        <f t="shared" si="201"/>
        <v>27707</v>
      </c>
      <c r="Q186" s="109"/>
      <c r="R186" s="106">
        <f t="shared" si="201"/>
        <v>27707</v>
      </c>
      <c r="S186" s="109"/>
      <c r="T186" s="106">
        <f t="shared" si="202"/>
        <v>27707</v>
      </c>
      <c r="U186" s="202">
        <v>0</v>
      </c>
      <c r="V186" s="106">
        <f t="shared" si="203"/>
        <v>27707</v>
      </c>
      <c r="W186" s="202"/>
      <c r="X186" s="106">
        <f t="shared" si="204"/>
        <v>27707</v>
      </c>
      <c r="Y186" s="202"/>
      <c r="Z186" s="106">
        <f t="shared" si="205"/>
        <v>27707</v>
      </c>
      <c r="AA186" s="202"/>
      <c r="AB186" s="106">
        <f t="shared" si="206"/>
        <v>27707</v>
      </c>
      <c r="AC186" s="172"/>
      <c r="AD186" s="106">
        <f t="shared" si="207"/>
        <v>27707</v>
      </c>
      <c r="AE186" s="172"/>
      <c r="AF186" s="106">
        <f t="shared" si="208"/>
        <v>27707</v>
      </c>
      <c r="AG186" s="198"/>
      <c r="AH186" s="106">
        <f t="shared" si="209"/>
        <v>27707</v>
      </c>
      <c r="AI186" s="172"/>
      <c r="AJ186" s="106">
        <f t="shared" si="210"/>
        <v>27707</v>
      </c>
      <c r="AK186" s="172">
        <v>1800</v>
      </c>
      <c r="AL186" s="106">
        <f t="shared" si="211"/>
        <v>29507</v>
      </c>
      <c r="AM186" s="172"/>
      <c r="AN186" s="106">
        <f t="shared" si="212"/>
        <v>29507</v>
      </c>
      <c r="AO186" s="106">
        <v>21536</v>
      </c>
      <c r="AP186" s="113">
        <v>17472</v>
      </c>
      <c r="AQ186" s="243">
        <v>31934</v>
      </c>
      <c r="AR186" s="275"/>
      <c r="AS186" s="244">
        <f t="shared" si="167"/>
        <v>31934</v>
      </c>
      <c r="AT186" s="103"/>
      <c r="AU186" s="159">
        <f t="shared" si="190"/>
        <v>1.3707932692307692</v>
      </c>
      <c r="AV186" s="103">
        <f t="shared" si="194"/>
        <v>23296</v>
      </c>
    </row>
    <row r="187" spans="1:48" ht="12.75" hidden="1">
      <c r="A187" s="31"/>
      <c r="B187" s="27">
        <v>4120</v>
      </c>
      <c r="C187" s="18" t="s">
        <v>40</v>
      </c>
      <c r="D187" s="104">
        <v>4674</v>
      </c>
      <c r="E187" s="106"/>
      <c r="F187" s="106">
        <f t="shared" si="191"/>
        <v>4674</v>
      </c>
      <c r="G187" s="109"/>
      <c r="H187" s="106">
        <f t="shared" si="192"/>
        <v>4674</v>
      </c>
      <c r="I187" s="109"/>
      <c r="J187" s="106">
        <f t="shared" si="199"/>
        <v>4674</v>
      </c>
      <c r="K187" s="110"/>
      <c r="L187" s="106">
        <f t="shared" si="200"/>
        <v>4674</v>
      </c>
      <c r="M187" s="109"/>
      <c r="N187" s="106">
        <f t="shared" si="201"/>
        <v>4674</v>
      </c>
      <c r="O187" s="106"/>
      <c r="P187" s="106">
        <f t="shared" si="201"/>
        <v>4674</v>
      </c>
      <c r="Q187" s="109"/>
      <c r="R187" s="106">
        <f t="shared" si="201"/>
        <v>4674</v>
      </c>
      <c r="S187" s="109"/>
      <c r="T187" s="106">
        <f t="shared" si="202"/>
        <v>4674</v>
      </c>
      <c r="U187" s="109"/>
      <c r="V187" s="106">
        <f t="shared" si="203"/>
        <v>4674</v>
      </c>
      <c r="W187" s="109"/>
      <c r="X187" s="106">
        <f t="shared" si="204"/>
        <v>4674</v>
      </c>
      <c r="Y187" s="109"/>
      <c r="Z187" s="106">
        <f t="shared" si="205"/>
        <v>4674</v>
      </c>
      <c r="AA187" s="109"/>
      <c r="AB187" s="106">
        <f t="shared" si="206"/>
        <v>4674</v>
      </c>
      <c r="AC187" s="172"/>
      <c r="AD187" s="106">
        <f t="shared" si="207"/>
        <v>4674</v>
      </c>
      <c r="AE187" s="172"/>
      <c r="AF187" s="106">
        <f t="shared" si="208"/>
        <v>4674</v>
      </c>
      <c r="AG187" s="198"/>
      <c r="AH187" s="106">
        <f t="shared" si="209"/>
        <v>4674</v>
      </c>
      <c r="AI187" s="172"/>
      <c r="AJ187" s="106">
        <f t="shared" si="210"/>
        <v>4674</v>
      </c>
      <c r="AK187" s="172"/>
      <c r="AL187" s="106">
        <f t="shared" si="211"/>
        <v>4674</v>
      </c>
      <c r="AM187" s="172"/>
      <c r="AN187" s="106">
        <v>4824</v>
      </c>
      <c r="AO187" s="106">
        <v>3612</v>
      </c>
      <c r="AP187" s="113">
        <v>2658</v>
      </c>
      <c r="AQ187" s="243">
        <v>5262</v>
      </c>
      <c r="AR187" s="275"/>
      <c r="AS187" s="244">
        <f t="shared" si="167"/>
        <v>5262</v>
      </c>
      <c r="AT187" s="103"/>
      <c r="AU187" s="159">
        <f t="shared" si="190"/>
        <v>1.484762979683973</v>
      </c>
      <c r="AV187" s="103">
        <f t="shared" si="194"/>
        <v>3544</v>
      </c>
    </row>
    <row r="188" spans="1:50" ht="12.75" hidden="1">
      <c r="A188" s="31"/>
      <c r="B188" s="27">
        <v>4210</v>
      </c>
      <c r="C188" s="18" t="s">
        <v>14</v>
      </c>
      <c r="D188" s="104">
        <v>23500</v>
      </c>
      <c r="E188" s="106"/>
      <c r="F188" s="106">
        <f t="shared" si="191"/>
        <v>23500</v>
      </c>
      <c r="G188" s="109"/>
      <c r="H188" s="106">
        <f t="shared" si="192"/>
        <v>23500</v>
      </c>
      <c r="I188" s="109"/>
      <c r="J188" s="106">
        <f t="shared" si="199"/>
        <v>23500</v>
      </c>
      <c r="K188" s="110"/>
      <c r="L188" s="106">
        <f t="shared" si="200"/>
        <v>23500</v>
      </c>
      <c r="M188" s="109"/>
      <c r="N188" s="106">
        <f t="shared" si="201"/>
        <v>23500</v>
      </c>
      <c r="O188" s="106"/>
      <c r="P188" s="106">
        <f t="shared" si="201"/>
        <v>23500</v>
      </c>
      <c r="Q188" s="109"/>
      <c r="R188" s="106">
        <f t="shared" si="201"/>
        <v>23500</v>
      </c>
      <c r="S188" s="109"/>
      <c r="T188" s="106">
        <f t="shared" si="202"/>
        <v>23500</v>
      </c>
      <c r="U188" s="109">
        <v>20000</v>
      </c>
      <c r="V188" s="106">
        <f t="shared" si="203"/>
        <v>43500</v>
      </c>
      <c r="W188" s="109"/>
      <c r="X188" s="106">
        <f t="shared" si="204"/>
        <v>43500</v>
      </c>
      <c r="Y188" s="109"/>
      <c r="Z188" s="106">
        <f t="shared" si="205"/>
        <v>43500</v>
      </c>
      <c r="AA188" s="109"/>
      <c r="AB188" s="106">
        <f t="shared" si="206"/>
        <v>43500</v>
      </c>
      <c r="AC188" s="172">
        <v>-10000</v>
      </c>
      <c r="AD188" s="106">
        <f t="shared" si="207"/>
        <v>33500</v>
      </c>
      <c r="AE188" s="172">
        <v>900</v>
      </c>
      <c r="AF188" s="106">
        <f t="shared" si="208"/>
        <v>34400</v>
      </c>
      <c r="AG188" s="198"/>
      <c r="AH188" s="106">
        <f t="shared" si="209"/>
        <v>34400</v>
      </c>
      <c r="AI188" s="172"/>
      <c r="AJ188" s="106">
        <f t="shared" si="210"/>
        <v>34400</v>
      </c>
      <c r="AK188" s="172"/>
      <c r="AL188" s="106">
        <f t="shared" si="211"/>
        <v>34400</v>
      </c>
      <c r="AM188" s="172"/>
      <c r="AN188" s="106">
        <v>30400</v>
      </c>
      <c r="AO188" s="106">
        <v>18916</v>
      </c>
      <c r="AP188" s="113">
        <v>11567</v>
      </c>
      <c r="AQ188" s="243">
        <v>19500</v>
      </c>
      <c r="AR188" s="275"/>
      <c r="AS188" s="244">
        <f t="shared" si="167"/>
        <v>19500</v>
      </c>
      <c r="AT188" s="103"/>
      <c r="AU188" s="159">
        <f t="shared" si="190"/>
        <v>1.2643727846459756</v>
      </c>
      <c r="AV188" s="103">
        <f t="shared" si="194"/>
        <v>15422.666666666666</v>
      </c>
      <c r="AX188" s="15"/>
    </row>
    <row r="189" spans="1:48" ht="12.75" hidden="1">
      <c r="A189" s="31"/>
      <c r="B189" s="27">
        <v>4240</v>
      </c>
      <c r="C189" s="18" t="s">
        <v>74</v>
      </c>
      <c r="D189" s="104">
        <v>6000</v>
      </c>
      <c r="E189" s="106"/>
      <c r="F189" s="106">
        <f t="shared" si="191"/>
        <v>6000</v>
      </c>
      <c r="G189" s="109"/>
      <c r="H189" s="106">
        <f t="shared" si="192"/>
        <v>6000</v>
      </c>
      <c r="I189" s="109"/>
      <c r="J189" s="106">
        <f t="shared" si="199"/>
        <v>6000</v>
      </c>
      <c r="K189" s="110"/>
      <c r="L189" s="106">
        <f t="shared" si="200"/>
        <v>6000</v>
      </c>
      <c r="M189" s="109"/>
      <c r="N189" s="106">
        <f t="shared" si="201"/>
        <v>6000</v>
      </c>
      <c r="O189" s="106"/>
      <c r="P189" s="106">
        <f t="shared" si="201"/>
        <v>6000</v>
      </c>
      <c r="Q189" s="109"/>
      <c r="R189" s="106">
        <f t="shared" si="201"/>
        <v>6000</v>
      </c>
      <c r="S189" s="109"/>
      <c r="T189" s="106">
        <f t="shared" si="202"/>
        <v>6000</v>
      </c>
      <c r="U189" s="109"/>
      <c r="V189" s="106">
        <f t="shared" si="203"/>
        <v>6000</v>
      </c>
      <c r="W189" s="109"/>
      <c r="X189" s="106">
        <f t="shared" si="204"/>
        <v>6000</v>
      </c>
      <c r="Y189" s="109"/>
      <c r="Z189" s="106">
        <f t="shared" si="205"/>
        <v>6000</v>
      </c>
      <c r="AA189" s="109"/>
      <c r="AB189" s="106">
        <f t="shared" si="206"/>
        <v>6000</v>
      </c>
      <c r="AC189" s="172"/>
      <c r="AD189" s="106">
        <f t="shared" si="207"/>
        <v>6000</v>
      </c>
      <c r="AE189" s="172"/>
      <c r="AF189" s="106">
        <f t="shared" si="208"/>
        <v>6000</v>
      </c>
      <c r="AG189" s="198"/>
      <c r="AH189" s="106">
        <f t="shared" si="209"/>
        <v>6000</v>
      </c>
      <c r="AI189" s="172"/>
      <c r="AJ189" s="106">
        <f t="shared" si="210"/>
        <v>6000</v>
      </c>
      <c r="AK189" s="172"/>
      <c r="AL189" s="106">
        <f t="shared" si="211"/>
        <v>6000</v>
      </c>
      <c r="AM189" s="172"/>
      <c r="AN189" s="106">
        <v>6200</v>
      </c>
      <c r="AO189" s="106">
        <v>6963</v>
      </c>
      <c r="AP189" s="113">
        <v>2075</v>
      </c>
      <c r="AQ189" s="243">
        <v>6000</v>
      </c>
      <c r="AR189" s="275"/>
      <c r="AS189" s="244">
        <f t="shared" si="167"/>
        <v>6000</v>
      </c>
      <c r="AT189" s="103"/>
      <c r="AU189" s="159">
        <f t="shared" si="190"/>
        <v>2.168674698795181</v>
      </c>
      <c r="AV189" s="103">
        <f t="shared" si="194"/>
        <v>2766.6666666666665</v>
      </c>
    </row>
    <row r="190" spans="1:48" ht="12.75" hidden="1">
      <c r="A190" s="31"/>
      <c r="B190" s="27">
        <v>4260</v>
      </c>
      <c r="C190" s="18" t="s">
        <v>43</v>
      </c>
      <c r="D190" s="104"/>
      <c r="E190" s="106"/>
      <c r="F190" s="106"/>
      <c r="G190" s="109"/>
      <c r="H190" s="106"/>
      <c r="I190" s="109"/>
      <c r="J190" s="106"/>
      <c r="K190" s="110"/>
      <c r="L190" s="106"/>
      <c r="M190" s="109"/>
      <c r="N190" s="106"/>
      <c r="O190" s="106"/>
      <c r="P190" s="106"/>
      <c r="Q190" s="109"/>
      <c r="R190" s="106"/>
      <c r="S190" s="109"/>
      <c r="T190" s="106"/>
      <c r="U190" s="109"/>
      <c r="V190" s="106"/>
      <c r="W190" s="109"/>
      <c r="X190" s="106"/>
      <c r="Y190" s="109"/>
      <c r="Z190" s="106"/>
      <c r="AA190" s="109"/>
      <c r="AB190" s="106"/>
      <c r="AC190" s="172"/>
      <c r="AD190" s="106"/>
      <c r="AE190" s="172"/>
      <c r="AF190" s="106"/>
      <c r="AG190" s="198"/>
      <c r="AH190" s="106"/>
      <c r="AI190" s="172"/>
      <c r="AJ190" s="106"/>
      <c r="AK190" s="172"/>
      <c r="AL190" s="106"/>
      <c r="AM190" s="172"/>
      <c r="AN190" s="106"/>
      <c r="AO190" s="106"/>
      <c r="AP190" s="113"/>
      <c r="AQ190" s="243">
        <v>1500</v>
      </c>
      <c r="AR190" s="275"/>
      <c r="AS190" s="244">
        <f t="shared" si="167"/>
        <v>1500</v>
      </c>
      <c r="AT190" s="103"/>
      <c r="AU190" s="159"/>
      <c r="AV190" s="103"/>
    </row>
    <row r="191" spans="1:48" ht="12.75" hidden="1">
      <c r="A191" s="31"/>
      <c r="B191" s="27">
        <v>4270</v>
      </c>
      <c r="C191" s="18" t="s">
        <v>24</v>
      </c>
      <c r="D191" s="104">
        <v>190000</v>
      </c>
      <c r="E191" s="106"/>
      <c r="F191" s="106">
        <f t="shared" si="191"/>
        <v>190000</v>
      </c>
      <c r="G191" s="109">
        <v>-116000</v>
      </c>
      <c r="H191" s="106">
        <f t="shared" si="192"/>
        <v>74000</v>
      </c>
      <c r="I191" s="109"/>
      <c r="J191" s="106">
        <f t="shared" si="199"/>
        <v>74000</v>
      </c>
      <c r="K191" s="110"/>
      <c r="L191" s="106">
        <f t="shared" si="200"/>
        <v>74000</v>
      </c>
      <c r="M191" s="109"/>
      <c r="N191" s="106">
        <f t="shared" si="201"/>
        <v>74000</v>
      </c>
      <c r="O191" s="106"/>
      <c r="P191" s="106">
        <f t="shared" si="201"/>
        <v>74000</v>
      </c>
      <c r="Q191" s="109"/>
      <c r="R191" s="106">
        <f t="shared" si="201"/>
        <v>74000</v>
      </c>
      <c r="S191" s="109"/>
      <c r="T191" s="106">
        <f t="shared" si="202"/>
        <v>74000</v>
      </c>
      <c r="U191" s="109"/>
      <c r="V191" s="106">
        <f t="shared" si="203"/>
        <v>74000</v>
      </c>
      <c r="W191" s="109"/>
      <c r="X191" s="106">
        <f t="shared" si="204"/>
        <v>74000</v>
      </c>
      <c r="Y191" s="109"/>
      <c r="Z191" s="106">
        <f t="shared" si="205"/>
        <v>74000</v>
      </c>
      <c r="AA191" s="109">
        <v>-3000</v>
      </c>
      <c r="AB191" s="106">
        <f t="shared" si="206"/>
        <v>71000</v>
      </c>
      <c r="AC191" s="172">
        <v>10000</v>
      </c>
      <c r="AD191" s="106">
        <f t="shared" si="207"/>
        <v>81000</v>
      </c>
      <c r="AE191" s="172">
        <v>-900</v>
      </c>
      <c r="AF191" s="106">
        <f t="shared" si="208"/>
        <v>80100</v>
      </c>
      <c r="AG191" s="198"/>
      <c r="AH191" s="106">
        <f t="shared" si="209"/>
        <v>80100</v>
      </c>
      <c r="AI191" s="172"/>
      <c r="AJ191" s="106">
        <f t="shared" si="210"/>
        <v>80100</v>
      </c>
      <c r="AK191" s="172">
        <v>-65000</v>
      </c>
      <c r="AL191" s="106">
        <f t="shared" si="211"/>
        <v>15100</v>
      </c>
      <c r="AM191" s="172"/>
      <c r="AN191" s="106">
        <f t="shared" si="212"/>
        <v>15100</v>
      </c>
      <c r="AO191" s="106">
        <v>0</v>
      </c>
      <c r="AP191" s="113">
        <v>10860</v>
      </c>
      <c r="AQ191" s="243">
        <f>15000-1500</f>
        <v>13500</v>
      </c>
      <c r="AR191" s="275"/>
      <c r="AS191" s="244">
        <f t="shared" si="167"/>
        <v>13500</v>
      </c>
      <c r="AT191" s="103"/>
      <c r="AU191" s="159">
        <f t="shared" si="190"/>
        <v>0.9323204419889503</v>
      </c>
      <c r="AV191" s="103">
        <f t="shared" si="194"/>
        <v>14480</v>
      </c>
    </row>
    <row r="192" spans="1:48" ht="12.75" hidden="1">
      <c r="A192" s="31"/>
      <c r="B192" s="27">
        <v>4280</v>
      </c>
      <c r="C192" s="18" t="s">
        <v>44</v>
      </c>
      <c r="D192" s="104">
        <v>100</v>
      </c>
      <c r="E192" s="106"/>
      <c r="F192" s="106">
        <f t="shared" si="191"/>
        <v>100</v>
      </c>
      <c r="G192" s="109"/>
      <c r="H192" s="106">
        <f t="shared" si="192"/>
        <v>100</v>
      </c>
      <c r="I192" s="109"/>
      <c r="J192" s="106">
        <f t="shared" si="199"/>
        <v>100</v>
      </c>
      <c r="K192" s="110"/>
      <c r="L192" s="106">
        <f t="shared" si="200"/>
        <v>100</v>
      </c>
      <c r="M192" s="109"/>
      <c r="N192" s="106">
        <f t="shared" si="201"/>
        <v>100</v>
      </c>
      <c r="O192" s="106"/>
      <c r="P192" s="106">
        <f t="shared" si="201"/>
        <v>100</v>
      </c>
      <c r="Q192" s="109"/>
      <c r="R192" s="106">
        <f t="shared" si="201"/>
        <v>100</v>
      </c>
      <c r="S192" s="109"/>
      <c r="T192" s="106">
        <f t="shared" si="202"/>
        <v>100</v>
      </c>
      <c r="U192" s="109"/>
      <c r="V192" s="106">
        <f t="shared" si="203"/>
        <v>100</v>
      </c>
      <c r="W192" s="109"/>
      <c r="X192" s="106">
        <f t="shared" si="204"/>
        <v>100</v>
      </c>
      <c r="Y192" s="109"/>
      <c r="Z192" s="106">
        <f t="shared" si="205"/>
        <v>100</v>
      </c>
      <c r="AA192" s="109"/>
      <c r="AB192" s="106">
        <f t="shared" si="206"/>
        <v>100</v>
      </c>
      <c r="AC192" s="172"/>
      <c r="AD192" s="106">
        <f t="shared" si="207"/>
        <v>100</v>
      </c>
      <c r="AE192" s="172"/>
      <c r="AF192" s="106">
        <f t="shared" si="208"/>
        <v>100</v>
      </c>
      <c r="AG192" s="198"/>
      <c r="AH192" s="106">
        <f t="shared" si="209"/>
        <v>100</v>
      </c>
      <c r="AI192" s="172"/>
      <c r="AJ192" s="106">
        <f t="shared" si="210"/>
        <v>100</v>
      </c>
      <c r="AK192" s="172"/>
      <c r="AL192" s="106">
        <f t="shared" si="211"/>
        <v>100</v>
      </c>
      <c r="AM192" s="172"/>
      <c r="AN192" s="106">
        <f t="shared" si="212"/>
        <v>100</v>
      </c>
      <c r="AO192" s="106">
        <v>0</v>
      </c>
      <c r="AP192" s="113">
        <v>0</v>
      </c>
      <c r="AQ192" s="243">
        <v>800</v>
      </c>
      <c r="AR192" s="275"/>
      <c r="AS192" s="244">
        <f t="shared" si="167"/>
        <v>800</v>
      </c>
      <c r="AT192" s="103"/>
      <c r="AU192" s="159" t="e">
        <f t="shared" si="190"/>
        <v>#DIV/0!</v>
      </c>
      <c r="AV192" s="103">
        <f t="shared" si="194"/>
        <v>0</v>
      </c>
    </row>
    <row r="193" spans="1:48" ht="12.75" hidden="1">
      <c r="A193" s="31"/>
      <c r="B193" s="27">
        <v>4300</v>
      </c>
      <c r="C193" s="18" t="s">
        <v>15</v>
      </c>
      <c r="D193" s="104">
        <v>2000</v>
      </c>
      <c r="E193" s="106"/>
      <c r="F193" s="106">
        <f t="shared" si="191"/>
        <v>2000</v>
      </c>
      <c r="G193" s="109"/>
      <c r="H193" s="106">
        <f t="shared" si="192"/>
        <v>2000</v>
      </c>
      <c r="I193" s="109"/>
      <c r="J193" s="106">
        <f t="shared" si="199"/>
        <v>2000</v>
      </c>
      <c r="K193" s="110"/>
      <c r="L193" s="106">
        <f t="shared" si="200"/>
        <v>2000</v>
      </c>
      <c r="M193" s="109"/>
      <c r="N193" s="106">
        <f t="shared" si="201"/>
        <v>2000</v>
      </c>
      <c r="O193" s="106"/>
      <c r="P193" s="106">
        <f t="shared" si="201"/>
        <v>2000</v>
      </c>
      <c r="Q193" s="109"/>
      <c r="R193" s="106">
        <f t="shared" si="201"/>
        <v>2000</v>
      </c>
      <c r="S193" s="109"/>
      <c r="T193" s="106">
        <f t="shared" si="202"/>
        <v>2000</v>
      </c>
      <c r="U193" s="109">
        <v>5000</v>
      </c>
      <c r="V193" s="106">
        <f t="shared" si="203"/>
        <v>7000</v>
      </c>
      <c r="W193" s="109"/>
      <c r="X193" s="106">
        <f t="shared" si="204"/>
        <v>7000</v>
      </c>
      <c r="Y193" s="109"/>
      <c r="Z193" s="106">
        <f t="shared" si="205"/>
        <v>7000</v>
      </c>
      <c r="AA193" s="109"/>
      <c r="AB193" s="106">
        <f t="shared" si="206"/>
        <v>7000</v>
      </c>
      <c r="AC193" s="172"/>
      <c r="AD193" s="106">
        <f t="shared" si="207"/>
        <v>7000</v>
      </c>
      <c r="AE193" s="172"/>
      <c r="AF193" s="106">
        <f t="shared" si="208"/>
        <v>7000</v>
      </c>
      <c r="AG193" s="198"/>
      <c r="AH193" s="106">
        <f t="shared" si="209"/>
        <v>7000</v>
      </c>
      <c r="AI193" s="172"/>
      <c r="AJ193" s="106">
        <f t="shared" si="210"/>
        <v>7000</v>
      </c>
      <c r="AK193" s="172"/>
      <c r="AL193" s="106">
        <f t="shared" si="211"/>
        <v>7000</v>
      </c>
      <c r="AM193" s="172"/>
      <c r="AN193" s="106">
        <v>500</v>
      </c>
      <c r="AO193" s="106">
        <v>0</v>
      </c>
      <c r="AP193" s="113">
        <v>16</v>
      </c>
      <c r="AQ193" s="243">
        <v>3000</v>
      </c>
      <c r="AR193" s="275"/>
      <c r="AS193" s="244">
        <f t="shared" si="167"/>
        <v>3000</v>
      </c>
      <c r="AT193" s="103"/>
      <c r="AU193" s="159">
        <f t="shared" si="190"/>
        <v>140.625</v>
      </c>
      <c r="AV193" s="103">
        <f t="shared" si="194"/>
        <v>21.333333333333332</v>
      </c>
    </row>
    <row r="194" spans="1:48" ht="12.75" hidden="1">
      <c r="A194" s="21"/>
      <c r="B194" s="27">
        <v>4410</v>
      </c>
      <c r="C194" s="18" t="s">
        <v>48</v>
      </c>
      <c r="D194" s="104">
        <v>1500</v>
      </c>
      <c r="E194" s="106"/>
      <c r="F194" s="106">
        <f t="shared" si="191"/>
        <v>1500</v>
      </c>
      <c r="G194" s="109"/>
      <c r="H194" s="106">
        <f t="shared" si="192"/>
        <v>1500</v>
      </c>
      <c r="I194" s="109"/>
      <c r="J194" s="106">
        <f t="shared" si="199"/>
        <v>1500</v>
      </c>
      <c r="K194" s="110"/>
      <c r="L194" s="106">
        <f t="shared" si="200"/>
        <v>1500</v>
      </c>
      <c r="M194" s="109"/>
      <c r="N194" s="106">
        <f t="shared" si="201"/>
        <v>1500</v>
      </c>
      <c r="O194" s="106"/>
      <c r="P194" s="106">
        <f t="shared" si="201"/>
        <v>1500</v>
      </c>
      <c r="Q194" s="109"/>
      <c r="R194" s="106">
        <f t="shared" si="201"/>
        <v>1500</v>
      </c>
      <c r="S194" s="109"/>
      <c r="T194" s="106">
        <f t="shared" si="202"/>
        <v>1500</v>
      </c>
      <c r="U194" s="109"/>
      <c r="V194" s="106">
        <f t="shared" si="203"/>
        <v>1500</v>
      </c>
      <c r="W194" s="109"/>
      <c r="X194" s="106">
        <f t="shared" si="204"/>
        <v>1500</v>
      </c>
      <c r="Y194" s="109"/>
      <c r="Z194" s="106">
        <f t="shared" si="205"/>
        <v>1500</v>
      </c>
      <c r="AA194" s="109"/>
      <c r="AB194" s="106">
        <f t="shared" si="206"/>
        <v>1500</v>
      </c>
      <c r="AC194" s="172"/>
      <c r="AD194" s="106">
        <f t="shared" si="207"/>
        <v>1500</v>
      </c>
      <c r="AE194" s="172"/>
      <c r="AF194" s="106">
        <f t="shared" si="208"/>
        <v>1500</v>
      </c>
      <c r="AG194" s="198"/>
      <c r="AH194" s="106">
        <f t="shared" si="209"/>
        <v>1500</v>
      </c>
      <c r="AI194" s="172"/>
      <c r="AJ194" s="106">
        <f t="shared" si="210"/>
        <v>1500</v>
      </c>
      <c r="AK194" s="172"/>
      <c r="AL194" s="106">
        <f t="shared" si="211"/>
        <v>1500</v>
      </c>
      <c r="AM194" s="172"/>
      <c r="AN194" s="106">
        <v>1000</v>
      </c>
      <c r="AO194" s="106">
        <v>32</v>
      </c>
      <c r="AP194" s="113">
        <v>270</v>
      </c>
      <c r="AQ194" s="243">
        <v>1000</v>
      </c>
      <c r="AR194" s="275"/>
      <c r="AS194" s="244">
        <f t="shared" si="167"/>
        <v>1000</v>
      </c>
      <c r="AT194" s="103"/>
      <c r="AU194" s="159">
        <f t="shared" si="190"/>
        <v>2.7777777777777777</v>
      </c>
      <c r="AV194" s="103">
        <f t="shared" si="194"/>
        <v>360</v>
      </c>
    </row>
    <row r="195" spans="1:48" ht="12.75" hidden="1">
      <c r="A195" s="21"/>
      <c r="B195" s="27">
        <v>4440</v>
      </c>
      <c r="C195" s="18" t="s">
        <v>50</v>
      </c>
      <c r="D195" s="104">
        <v>11414</v>
      </c>
      <c r="E195" s="106"/>
      <c r="F195" s="106">
        <f t="shared" si="191"/>
        <v>11414</v>
      </c>
      <c r="G195" s="109"/>
      <c r="H195" s="106">
        <f t="shared" si="192"/>
        <v>11414</v>
      </c>
      <c r="I195" s="109"/>
      <c r="J195" s="106">
        <f t="shared" si="199"/>
        <v>11414</v>
      </c>
      <c r="K195" s="110"/>
      <c r="L195" s="106">
        <f t="shared" si="200"/>
        <v>11414</v>
      </c>
      <c r="M195" s="109"/>
      <c r="N195" s="106">
        <f t="shared" si="201"/>
        <v>11414</v>
      </c>
      <c r="O195" s="106"/>
      <c r="P195" s="106">
        <f t="shared" si="201"/>
        <v>11414</v>
      </c>
      <c r="Q195" s="109"/>
      <c r="R195" s="106">
        <f t="shared" si="201"/>
        <v>11414</v>
      </c>
      <c r="S195" s="109"/>
      <c r="T195" s="106">
        <f t="shared" si="202"/>
        <v>11414</v>
      </c>
      <c r="U195" s="109"/>
      <c r="V195" s="106">
        <f t="shared" si="203"/>
        <v>11414</v>
      </c>
      <c r="W195" s="109"/>
      <c r="X195" s="106">
        <f t="shared" si="204"/>
        <v>11414</v>
      </c>
      <c r="Y195" s="109"/>
      <c r="Z195" s="106">
        <f t="shared" si="205"/>
        <v>11414</v>
      </c>
      <c r="AA195" s="109"/>
      <c r="AB195" s="106">
        <f t="shared" si="206"/>
        <v>11414</v>
      </c>
      <c r="AC195" s="172"/>
      <c r="AD195" s="106">
        <f t="shared" si="207"/>
        <v>11414</v>
      </c>
      <c r="AE195" s="172"/>
      <c r="AF195" s="106">
        <f t="shared" si="208"/>
        <v>11414</v>
      </c>
      <c r="AG195" s="198"/>
      <c r="AH195" s="106">
        <f t="shared" si="209"/>
        <v>11414</v>
      </c>
      <c r="AI195" s="172"/>
      <c r="AJ195" s="106">
        <f t="shared" si="210"/>
        <v>11414</v>
      </c>
      <c r="AK195" s="172"/>
      <c r="AL195" s="106">
        <f t="shared" si="211"/>
        <v>11414</v>
      </c>
      <c r="AM195" s="172"/>
      <c r="AN195" s="106">
        <f t="shared" si="212"/>
        <v>11414</v>
      </c>
      <c r="AO195" s="106">
        <v>9619</v>
      </c>
      <c r="AP195" s="113">
        <v>8600</v>
      </c>
      <c r="AQ195" s="243">
        <v>17570</v>
      </c>
      <c r="AR195" s="275"/>
      <c r="AS195" s="244">
        <f t="shared" si="167"/>
        <v>17570</v>
      </c>
      <c r="AT195" s="103"/>
      <c r="AU195" s="159">
        <f t="shared" si="190"/>
        <v>1.5322674418604652</v>
      </c>
      <c r="AV195" s="103">
        <f t="shared" si="194"/>
        <v>11466.666666666666</v>
      </c>
    </row>
    <row r="196" spans="1:48" ht="25.5" hidden="1">
      <c r="A196" s="21"/>
      <c r="B196" s="27">
        <v>4740</v>
      </c>
      <c r="C196" s="18" t="s">
        <v>52</v>
      </c>
      <c r="D196" s="104">
        <v>100</v>
      </c>
      <c r="E196" s="106"/>
      <c r="F196" s="106">
        <f t="shared" si="191"/>
        <v>100</v>
      </c>
      <c r="G196" s="109"/>
      <c r="H196" s="106">
        <f t="shared" si="192"/>
        <v>100</v>
      </c>
      <c r="I196" s="109"/>
      <c r="J196" s="106">
        <f t="shared" si="199"/>
        <v>100</v>
      </c>
      <c r="K196" s="110"/>
      <c r="L196" s="106">
        <f t="shared" si="200"/>
        <v>100</v>
      </c>
      <c r="M196" s="109"/>
      <c r="N196" s="106">
        <f t="shared" si="201"/>
        <v>100</v>
      </c>
      <c r="O196" s="106"/>
      <c r="P196" s="106">
        <f t="shared" si="201"/>
        <v>100</v>
      </c>
      <c r="Q196" s="109"/>
      <c r="R196" s="106">
        <f t="shared" si="201"/>
        <v>100</v>
      </c>
      <c r="S196" s="109"/>
      <c r="T196" s="106">
        <f t="shared" si="202"/>
        <v>100</v>
      </c>
      <c r="U196" s="109"/>
      <c r="V196" s="106">
        <f t="shared" si="203"/>
        <v>100</v>
      </c>
      <c r="W196" s="109"/>
      <c r="X196" s="106">
        <f t="shared" si="204"/>
        <v>100</v>
      </c>
      <c r="Y196" s="109"/>
      <c r="Z196" s="106">
        <f t="shared" si="205"/>
        <v>100</v>
      </c>
      <c r="AA196" s="109"/>
      <c r="AB196" s="106">
        <f t="shared" si="206"/>
        <v>100</v>
      </c>
      <c r="AC196" s="172"/>
      <c r="AD196" s="106">
        <f t="shared" si="207"/>
        <v>100</v>
      </c>
      <c r="AE196" s="172"/>
      <c r="AF196" s="106">
        <f t="shared" si="208"/>
        <v>100</v>
      </c>
      <c r="AG196" s="198"/>
      <c r="AH196" s="106">
        <f t="shared" si="209"/>
        <v>100</v>
      </c>
      <c r="AI196" s="172"/>
      <c r="AJ196" s="106">
        <f t="shared" si="210"/>
        <v>100</v>
      </c>
      <c r="AK196" s="172"/>
      <c r="AL196" s="106">
        <f t="shared" si="211"/>
        <v>100</v>
      </c>
      <c r="AM196" s="172"/>
      <c r="AN196" s="106">
        <f t="shared" si="212"/>
        <v>100</v>
      </c>
      <c r="AO196" s="106">
        <f>AN196+AM196</f>
        <v>100</v>
      </c>
      <c r="AP196" s="113">
        <v>0</v>
      </c>
      <c r="AQ196" s="243">
        <v>1400</v>
      </c>
      <c r="AR196" s="275"/>
      <c r="AS196" s="244">
        <f t="shared" si="167"/>
        <v>1400</v>
      </c>
      <c r="AT196" s="103"/>
      <c r="AU196" s="159" t="e">
        <f t="shared" si="190"/>
        <v>#DIV/0!</v>
      </c>
      <c r="AV196" s="103"/>
    </row>
    <row r="197" spans="1:48" ht="12.75" hidden="1">
      <c r="A197" s="31">
        <v>80104</v>
      </c>
      <c r="B197" s="26"/>
      <c r="C197" s="19" t="s">
        <v>77</v>
      </c>
      <c r="D197" s="190">
        <f aca="true" t="shared" si="213" ref="D197:J197">SUM(D198:D222)</f>
        <v>1210742</v>
      </c>
      <c r="E197" s="190">
        <f t="shared" si="213"/>
        <v>0</v>
      </c>
      <c r="F197" s="190">
        <f t="shared" si="213"/>
        <v>1210742</v>
      </c>
      <c r="G197" s="190">
        <f t="shared" si="213"/>
        <v>0</v>
      </c>
      <c r="H197" s="190">
        <f t="shared" si="213"/>
        <v>1210742</v>
      </c>
      <c r="I197" s="190">
        <f t="shared" si="213"/>
        <v>0</v>
      </c>
      <c r="J197" s="190">
        <f t="shared" si="213"/>
        <v>1210742</v>
      </c>
      <c r="K197" s="110"/>
      <c r="L197" s="190">
        <f>SUM(L198:L222)</f>
        <v>1210742</v>
      </c>
      <c r="M197" s="109"/>
      <c r="N197" s="190">
        <f>SUM(N198:N222)</f>
        <v>1210742</v>
      </c>
      <c r="O197" s="190"/>
      <c r="P197" s="190">
        <f>SUM(P198:P222)</f>
        <v>1210742</v>
      </c>
      <c r="Q197" s="109"/>
      <c r="R197" s="190">
        <f>SUM(R198:R222)</f>
        <v>1210742</v>
      </c>
      <c r="S197" s="109"/>
      <c r="T197" s="190">
        <f aca="true" t="shared" si="214" ref="T197:Z197">SUM(T198:T222)</f>
        <v>1210742</v>
      </c>
      <c r="U197" s="190">
        <f t="shared" si="214"/>
        <v>0</v>
      </c>
      <c r="V197" s="190">
        <f t="shared" si="214"/>
        <v>1210742</v>
      </c>
      <c r="W197" s="190">
        <f t="shared" si="214"/>
        <v>0</v>
      </c>
      <c r="X197" s="190">
        <f t="shared" si="214"/>
        <v>1210742</v>
      </c>
      <c r="Y197" s="190">
        <f t="shared" si="214"/>
        <v>0</v>
      </c>
      <c r="Z197" s="190">
        <f t="shared" si="214"/>
        <v>1210742</v>
      </c>
      <c r="AA197" s="190">
        <f aca="true" t="shared" si="215" ref="AA197:AF197">SUM(AA198:AA222)</f>
        <v>0</v>
      </c>
      <c r="AB197" s="190">
        <f t="shared" si="215"/>
        <v>1210742</v>
      </c>
      <c r="AC197" s="190">
        <f t="shared" si="215"/>
        <v>0</v>
      </c>
      <c r="AD197" s="190">
        <f t="shared" si="215"/>
        <v>1210742</v>
      </c>
      <c r="AE197" s="190">
        <f t="shared" si="215"/>
        <v>0</v>
      </c>
      <c r="AF197" s="190">
        <f t="shared" si="215"/>
        <v>1210742</v>
      </c>
      <c r="AG197" s="191">
        <f aca="true" t="shared" si="216" ref="AG197:AL197">SUM(AG198:AG222)</f>
        <v>0</v>
      </c>
      <c r="AH197" s="190">
        <f t="shared" si="216"/>
        <v>1210742</v>
      </c>
      <c r="AI197" s="190">
        <f t="shared" si="216"/>
        <v>0</v>
      </c>
      <c r="AJ197" s="190">
        <f t="shared" si="216"/>
        <v>1210742</v>
      </c>
      <c r="AK197" s="190">
        <f t="shared" si="216"/>
        <v>15000</v>
      </c>
      <c r="AL197" s="190">
        <f t="shared" si="216"/>
        <v>1225742</v>
      </c>
      <c r="AM197" s="190">
        <f>SUM(AM198:AM222)</f>
        <v>0</v>
      </c>
      <c r="AN197" s="190">
        <f>SUM(AN198:AN222)</f>
        <v>1225742</v>
      </c>
      <c r="AO197" s="190">
        <f>SUM(AO198:AO222)</f>
        <v>1039268</v>
      </c>
      <c r="AP197" s="81">
        <f>SUM(AP198:AP222)</f>
        <v>701463</v>
      </c>
      <c r="AQ197" s="247">
        <f>SUM(AQ198:AQ222)</f>
        <v>1207025</v>
      </c>
      <c r="AR197" s="274"/>
      <c r="AS197" s="244">
        <f t="shared" si="167"/>
        <v>1207025</v>
      </c>
      <c r="AT197" s="103"/>
      <c r="AU197" s="159">
        <f t="shared" si="190"/>
        <v>1.2905438348138105</v>
      </c>
      <c r="AV197" s="103"/>
    </row>
    <row r="198" spans="1:48" ht="38.25" customHeight="1" hidden="1">
      <c r="A198" s="31"/>
      <c r="B198" s="27">
        <v>2310</v>
      </c>
      <c r="C198" s="44" t="s">
        <v>20</v>
      </c>
      <c r="D198" s="104">
        <v>20000</v>
      </c>
      <c r="E198" s="106"/>
      <c r="F198" s="106">
        <f t="shared" si="191"/>
        <v>20000</v>
      </c>
      <c r="G198" s="109"/>
      <c r="H198" s="106">
        <f t="shared" si="192"/>
        <v>20000</v>
      </c>
      <c r="I198" s="109"/>
      <c r="J198" s="106">
        <f aca="true" t="shared" si="217" ref="J198:J222">I198+H198</f>
        <v>20000</v>
      </c>
      <c r="K198" s="110"/>
      <c r="L198" s="106">
        <f aca="true" t="shared" si="218" ref="L198:L222">K198+H198</f>
        <v>20000</v>
      </c>
      <c r="M198" s="109"/>
      <c r="N198" s="106">
        <f aca="true" t="shared" si="219" ref="N198:R222">M198+L198</f>
        <v>20000</v>
      </c>
      <c r="O198" s="106"/>
      <c r="P198" s="106">
        <f t="shared" si="219"/>
        <v>20000</v>
      </c>
      <c r="Q198" s="109"/>
      <c r="R198" s="106">
        <f t="shared" si="219"/>
        <v>20000</v>
      </c>
      <c r="S198" s="109"/>
      <c r="T198" s="106">
        <f aca="true" t="shared" si="220" ref="T198:T222">S198+R198</f>
        <v>20000</v>
      </c>
      <c r="U198" s="109"/>
      <c r="V198" s="106">
        <f aca="true" t="shared" si="221" ref="V198:V222">U198+T198</f>
        <v>20000</v>
      </c>
      <c r="W198" s="109"/>
      <c r="X198" s="106">
        <f aca="true" t="shared" si="222" ref="X198:X222">W198+V198</f>
        <v>20000</v>
      </c>
      <c r="Y198" s="109"/>
      <c r="Z198" s="106">
        <f aca="true" t="shared" si="223" ref="Z198:Z222">Y198+X198</f>
        <v>20000</v>
      </c>
      <c r="AA198" s="109"/>
      <c r="AB198" s="106">
        <f aca="true" t="shared" si="224" ref="AB198:AB222">AA198+Z198</f>
        <v>20000</v>
      </c>
      <c r="AC198" s="172"/>
      <c r="AD198" s="106">
        <f aca="true" t="shared" si="225" ref="AD198:AD222">AC198+AB198</f>
        <v>20000</v>
      </c>
      <c r="AE198" s="172"/>
      <c r="AF198" s="106">
        <f aca="true" t="shared" si="226" ref="AF198:AF222">AE198+AD198</f>
        <v>20000</v>
      </c>
      <c r="AG198" s="198"/>
      <c r="AH198" s="106">
        <f aca="true" t="shared" si="227" ref="AH198:AH222">AG198+AF198</f>
        <v>20000</v>
      </c>
      <c r="AI198" s="172"/>
      <c r="AJ198" s="106">
        <f aca="true" t="shared" si="228" ref="AJ198:AJ222">AI198+AH198</f>
        <v>20000</v>
      </c>
      <c r="AK198" s="172"/>
      <c r="AL198" s="106">
        <f aca="true" t="shared" si="229" ref="AL198:AL222">AK198+AJ198</f>
        <v>20000</v>
      </c>
      <c r="AM198" s="172"/>
      <c r="AN198" s="106">
        <f aca="true" t="shared" si="230" ref="AN198:AN222">AM198+AL198</f>
        <v>20000</v>
      </c>
      <c r="AO198" s="106">
        <v>14000</v>
      </c>
      <c r="AP198" s="113">
        <v>0</v>
      </c>
      <c r="AQ198" s="243">
        <v>20000</v>
      </c>
      <c r="AR198" s="275"/>
      <c r="AS198" s="244">
        <f t="shared" si="167"/>
        <v>20000</v>
      </c>
      <c r="AT198" s="103"/>
      <c r="AU198" s="159" t="e">
        <f t="shared" si="190"/>
        <v>#DIV/0!</v>
      </c>
      <c r="AV198" s="103"/>
    </row>
    <row r="199" spans="1:48" ht="12.75" hidden="1">
      <c r="A199" s="21"/>
      <c r="B199" s="27">
        <v>3020</v>
      </c>
      <c r="C199" s="18" t="s">
        <v>73</v>
      </c>
      <c r="D199" s="104">
        <v>54707</v>
      </c>
      <c r="E199" s="106"/>
      <c r="F199" s="106">
        <f t="shared" si="191"/>
        <v>54707</v>
      </c>
      <c r="G199" s="109"/>
      <c r="H199" s="106">
        <f t="shared" si="192"/>
        <v>54707</v>
      </c>
      <c r="I199" s="109"/>
      <c r="J199" s="106">
        <f t="shared" si="217"/>
        <v>54707</v>
      </c>
      <c r="K199" s="110"/>
      <c r="L199" s="106">
        <f t="shared" si="218"/>
        <v>54707</v>
      </c>
      <c r="M199" s="109"/>
      <c r="N199" s="106">
        <f t="shared" si="219"/>
        <v>54707</v>
      </c>
      <c r="O199" s="106"/>
      <c r="P199" s="106">
        <f t="shared" si="219"/>
        <v>54707</v>
      </c>
      <c r="Q199" s="109"/>
      <c r="R199" s="106">
        <f t="shared" si="219"/>
        <v>54707</v>
      </c>
      <c r="S199" s="109"/>
      <c r="T199" s="106">
        <f t="shared" si="220"/>
        <v>54707</v>
      </c>
      <c r="U199" s="202"/>
      <c r="V199" s="106">
        <f t="shared" si="221"/>
        <v>54707</v>
      </c>
      <c r="W199" s="202"/>
      <c r="X199" s="106">
        <f t="shared" si="222"/>
        <v>54707</v>
      </c>
      <c r="Y199" s="202"/>
      <c r="Z199" s="106">
        <f t="shared" si="223"/>
        <v>54707</v>
      </c>
      <c r="AA199" s="202"/>
      <c r="AB199" s="106">
        <f t="shared" si="224"/>
        <v>54707</v>
      </c>
      <c r="AC199" s="172"/>
      <c r="AD199" s="106">
        <f t="shared" si="225"/>
        <v>54707</v>
      </c>
      <c r="AE199" s="172"/>
      <c r="AF199" s="106">
        <f t="shared" si="226"/>
        <v>54707</v>
      </c>
      <c r="AG199" s="198"/>
      <c r="AH199" s="106">
        <f t="shared" si="227"/>
        <v>54707</v>
      </c>
      <c r="AI199" s="172"/>
      <c r="AJ199" s="106">
        <f t="shared" si="228"/>
        <v>54707</v>
      </c>
      <c r="AK199" s="172"/>
      <c r="AL199" s="106">
        <f t="shared" si="229"/>
        <v>54707</v>
      </c>
      <c r="AM199" s="172"/>
      <c r="AN199" s="106">
        <v>55417</v>
      </c>
      <c r="AO199" s="106">
        <v>41825</v>
      </c>
      <c r="AP199" s="113">
        <v>35680</v>
      </c>
      <c r="AQ199" s="243">
        <f>72371-15000</f>
        <v>57371</v>
      </c>
      <c r="AR199" s="275"/>
      <c r="AS199" s="244">
        <f t="shared" si="167"/>
        <v>57371</v>
      </c>
      <c r="AT199" s="103"/>
      <c r="AU199" s="159">
        <f t="shared" si="190"/>
        <v>1.2059487107623317</v>
      </c>
      <c r="AV199" s="103"/>
    </row>
    <row r="200" spans="1:48" ht="12.75" hidden="1">
      <c r="A200" s="21"/>
      <c r="B200" s="27">
        <v>4010</v>
      </c>
      <c r="C200" s="18" t="s">
        <v>37</v>
      </c>
      <c r="D200" s="104">
        <v>645624</v>
      </c>
      <c r="E200" s="106"/>
      <c r="F200" s="106">
        <f t="shared" si="191"/>
        <v>645624</v>
      </c>
      <c r="G200" s="109"/>
      <c r="H200" s="106">
        <f t="shared" si="192"/>
        <v>645624</v>
      </c>
      <c r="I200" s="109"/>
      <c r="J200" s="106">
        <f t="shared" si="217"/>
        <v>645624</v>
      </c>
      <c r="K200" s="110"/>
      <c r="L200" s="106">
        <f t="shared" si="218"/>
        <v>645624</v>
      </c>
      <c r="M200" s="109"/>
      <c r="N200" s="106">
        <f t="shared" si="219"/>
        <v>645624</v>
      </c>
      <c r="O200" s="106"/>
      <c r="P200" s="106">
        <f t="shared" si="219"/>
        <v>645624</v>
      </c>
      <c r="Q200" s="109"/>
      <c r="R200" s="106">
        <f t="shared" si="219"/>
        <v>645624</v>
      </c>
      <c r="S200" s="109"/>
      <c r="T200" s="106">
        <f t="shared" si="220"/>
        <v>645624</v>
      </c>
      <c r="U200" s="202">
        <v>0</v>
      </c>
      <c r="V200" s="106">
        <f t="shared" si="221"/>
        <v>645624</v>
      </c>
      <c r="W200" s="202">
        <v>0</v>
      </c>
      <c r="X200" s="106">
        <f t="shared" si="222"/>
        <v>645624</v>
      </c>
      <c r="Y200" s="202">
        <v>0</v>
      </c>
      <c r="Z200" s="106">
        <f t="shared" si="223"/>
        <v>645624</v>
      </c>
      <c r="AA200" s="202">
        <v>0</v>
      </c>
      <c r="AB200" s="106">
        <f t="shared" si="224"/>
        <v>645624</v>
      </c>
      <c r="AC200" s="172">
        <v>0</v>
      </c>
      <c r="AD200" s="106">
        <f t="shared" si="225"/>
        <v>645624</v>
      </c>
      <c r="AE200" s="172">
        <v>0</v>
      </c>
      <c r="AF200" s="106">
        <f t="shared" si="226"/>
        <v>645624</v>
      </c>
      <c r="AG200" s="198">
        <v>0</v>
      </c>
      <c r="AH200" s="106">
        <f t="shared" si="227"/>
        <v>645624</v>
      </c>
      <c r="AI200" s="172">
        <v>0</v>
      </c>
      <c r="AJ200" s="106">
        <f t="shared" si="228"/>
        <v>645624</v>
      </c>
      <c r="AK200" s="172">
        <v>0</v>
      </c>
      <c r="AL200" s="106">
        <f t="shared" si="229"/>
        <v>645624</v>
      </c>
      <c r="AM200" s="172">
        <v>0</v>
      </c>
      <c r="AN200" s="106">
        <f t="shared" si="230"/>
        <v>645624</v>
      </c>
      <c r="AO200" s="106">
        <v>589752</v>
      </c>
      <c r="AP200" s="113">
        <v>408327</v>
      </c>
      <c r="AQ200" s="243">
        <v>652080</v>
      </c>
      <c r="AR200" s="275"/>
      <c r="AS200" s="244">
        <f t="shared" si="167"/>
        <v>652080</v>
      </c>
      <c r="AT200" s="103"/>
      <c r="AU200" s="159">
        <f t="shared" si="190"/>
        <v>1.197716536011579</v>
      </c>
      <c r="AV200" s="103">
        <f>AN200*101%</f>
        <v>652080.24</v>
      </c>
    </row>
    <row r="201" spans="1:48" ht="12.75" hidden="1">
      <c r="A201" s="21"/>
      <c r="B201" s="27">
        <v>4040</v>
      </c>
      <c r="C201" s="18" t="s">
        <v>38</v>
      </c>
      <c r="D201" s="104">
        <v>49137</v>
      </c>
      <c r="E201" s="106"/>
      <c r="F201" s="106">
        <f t="shared" si="191"/>
        <v>49137</v>
      </c>
      <c r="G201" s="109"/>
      <c r="H201" s="106">
        <f t="shared" si="192"/>
        <v>49137</v>
      </c>
      <c r="I201" s="109"/>
      <c r="J201" s="106">
        <f t="shared" si="217"/>
        <v>49137</v>
      </c>
      <c r="K201" s="110"/>
      <c r="L201" s="106">
        <f t="shared" si="218"/>
        <v>49137</v>
      </c>
      <c r="M201" s="109"/>
      <c r="N201" s="106">
        <f t="shared" si="219"/>
        <v>49137</v>
      </c>
      <c r="O201" s="106"/>
      <c r="P201" s="106">
        <f t="shared" si="219"/>
        <v>49137</v>
      </c>
      <c r="Q201" s="109"/>
      <c r="R201" s="106">
        <f t="shared" si="219"/>
        <v>49137</v>
      </c>
      <c r="S201" s="109"/>
      <c r="T201" s="106">
        <f t="shared" si="220"/>
        <v>49137</v>
      </c>
      <c r="U201" s="202"/>
      <c r="V201" s="106">
        <f t="shared" si="221"/>
        <v>49137</v>
      </c>
      <c r="W201" s="202"/>
      <c r="X201" s="106">
        <f t="shared" si="222"/>
        <v>49137</v>
      </c>
      <c r="Y201" s="202"/>
      <c r="Z201" s="106">
        <f t="shared" si="223"/>
        <v>49137</v>
      </c>
      <c r="AA201" s="202"/>
      <c r="AB201" s="106">
        <f t="shared" si="224"/>
        <v>49137</v>
      </c>
      <c r="AC201" s="172"/>
      <c r="AD201" s="106">
        <f t="shared" si="225"/>
        <v>49137</v>
      </c>
      <c r="AE201" s="172"/>
      <c r="AF201" s="106">
        <f t="shared" si="226"/>
        <v>49137</v>
      </c>
      <c r="AG201" s="198"/>
      <c r="AH201" s="106">
        <f t="shared" si="227"/>
        <v>49137</v>
      </c>
      <c r="AI201" s="172"/>
      <c r="AJ201" s="106">
        <f t="shared" si="228"/>
        <v>49137</v>
      </c>
      <c r="AK201" s="172"/>
      <c r="AL201" s="106">
        <f t="shared" si="229"/>
        <v>49137</v>
      </c>
      <c r="AM201" s="172"/>
      <c r="AN201" s="106">
        <v>48427</v>
      </c>
      <c r="AO201" s="106">
        <v>42829</v>
      </c>
      <c r="AP201" s="113">
        <v>48417</v>
      </c>
      <c r="AQ201" s="243">
        <v>55670</v>
      </c>
      <c r="AR201" s="275"/>
      <c r="AS201" s="244">
        <f t="shared" si="167"/>
        <v>55670</v>
      </c>
      <c r="AT201" s="103"/>
      <c r="AU201" s="159">
        <f t="shared" si="190"/>
        <v>0.8623520664229506</v>
      </c>
      <c r="AV201" s="103"/>
    </row>
    <row r="202" spans="1:48" ht="12.75" hidden="1">
      <c r="A202" s="21"/>
      <c r="B202" s="27">
        <v>4110</v>
      </c>
      <c r="C202" s="18" t="s">
        <v>39</v>
      </c>
      <c r="D202" s="104">
        <v>110783</v>
      </c>
      <c r="E202" s="106"/>
      <c r="F202" s="106">
        <f t="shared" si="191"/>
        <v>110783</v>
      </c>
      <c r="G202" s="109"/>
      <c r="H202" s="106">
        <f t="shared" si="192"/>
        <v>110783</v>
      </c>
      <c r="I202" s="109"/>
      <c r="J202" s="106">
        <f t="shared" si="217"/>
        <v>110783</v>
      </c>
      <c r="K202" s="110"/>
      <c r="L202" s="106">
        <f t="shared" si="218"/>
        <v>110783</v>
      </c>
      <c r="M202" s="109"/>
      <c r="N202" s="106">
        <f t="shared" si="219"/>
        <v>110783</v>
      </c>
      <c r="O202" s="106"/>
      <c r="P202" s="106">
        <f t="shared" si="219"/>
        <v>110783</v>
      </c>
      <c r="Q202" s="109"/>
      <c r="R202" s="106">
        <f t="shared" si="219"/>
        <v>110783</v>
      </c>
      <c r="S202" s="109"/>
      <c r="T202" s="106">
        <f t="shared" si="220"/>
        <v>110783</v>
      </c>
      <c r="U202" s="202">
        <v>0</v>
      </c>
      <c r="V202" s="106">
        <f t="shared" si="221"/>
        <v>110783</v>
      </c>
      <c r="W202" s="202">
        <v>0</v>
      </c>
      <c r="X202" s="106">
        <f t="shared" si="222"/>
        <v>110783</v>
      </c>
      <c r="Y202" s="202">
        <v>0</v>
      </c>
      <c r="Z202" s="106">
        <f t="shared" si="223"/>
        <v>110783</v>
      </c>
      <c r="AA202" s="202">
        <v>0</v>
      </c>
      <c r="AB202" s="106">
        <f t="shared" si="224"/>
        <v>110783</v>
      </c>
      <c r="AC202" s="172">
        <v>0</v>
      </c>
      <c r="AD202" s="106">
        <f t="shared" si="225"/>
        <v>110783</v>
      </c>
      <c r="AE202" s="172">
        <v>0</v>
      </c>
      <c r="AF202" s="106">
        <f t="shared" si="226"/>
        <v>110783</v>
      </c>
      <c r="AG202" s="198">
        <v>0</v>
      </c>
      <c r="AH202" s="106">
        <f t="shared" si="227"/>
        <v>110783</v>
      </c>
      <c r="AI202" s="172">
        <v>0</v>
      </c>
      <c r="AJ202" s="106">
        <f t="shared" si="228"/>
        <v>110783</v>
      </c>
      <c r="AK202" s="172">
        <v>0</v>
      </c>
      <c r="AL202" s="106">
        <f t="shared" si="229"/>
        <v>110783</v>
      </c>
      <c r="AM202" s="172">
        <v>0</v>
      </c>
      <c r="AN202" s="106">
        <f t="shared" si="230"/>
        <v>110783</v>
      </c>
      <c r="AO202" s="106">
        <v>100137</v>
      </c>
      <c r="AP202" s="113">
        <v>68127</v>
      </c>
      <c r="AQ202" s="243">
        <v>130352</v>
      </c>
      <c r="AR202" s="275"/>
      <c r="AS202" s="244">
        <f t="shared" si="167"/>
        <v>130352</v>
      </c>
      <c r="AT202" s="103"/>
      <c r="AU202" s="159">
        <f t="shared" si="190"/>
        <v>1.4350257607116121</v>
      </c>
      <c r="AV202" s="103"/>
    </row>
    <row r="203" spans="1:48" ht="12.75" hidden="1">
      <c r="A203" s="21"/>
      <c r="B203" s="27">
        <v>4120</v>
      </c>
      <c r="C203" s="18" t="s">
        <v>40</v>
      </c>
      <c r="D203" s="104">
        <v>18010</v>
      </c>
      <c r="E203" s="106"/>
      <c r="F203" s="106">
        <f t="shared" si="191"/>
        <v>18010</v>
      </c>
      <c r="G203" s="109"/>
      <c r="H203" s="106">
        <f t="shared" si="192"/>
        <v>18010</v>
      </c>
      <c r="I203" s="109"/>
      <c r="J203" s="106">
        <f t="shared" si="217"/>
        <v>18010</v>
      </c>
      <c r="K203" s="110"/>
      <c r="L203" s="106">
        <f t="shared" si="218"/>
        <v>18010</v>
      </c>
      <c r="M203" s="109"/>
      <c r="N203" s="106">
        <f t="shared" si="219"/>
        <v>18010</v>
      </c>
      <c r="O203" s="106"/>
      <c r="P203" s="106">
        <f t="shared" si="219"/>
        <v>18010</v>
      </c>
      <c r="Q203" s="109"/>
      <c r="R203" s="106">
        <f t="shared" si="219"/>
        <v>18010</v>
      </c>
      <c r="S203" s="109"/>
      <c r="T203" s="106">
        <f t="shared" si="220"/>
        <v>18010</v>
      </c>
      <c r="U203" s="202">
        <v>0</v>
      </c>
      <c r="V203" s="106">
        <f t="shared" si="221"/>
        <v>18010</v>
      </c>
      <c r="W203" s="202">
        <v>0</v>
      </c>
      <c r="X203" s="106">
        <f t="shared" si="222"/>
        <v>18010</v>
      </c>
      <c r="Y203" s="202">
        <v>0</v>
      </c>
      <c r="Z203" s="106">
        <f t="shared" si="223"/>
        <v>18010</v>
      </c>
      <c r="AA203" s="202">
        <v>0</v>
      </c>
      <c r="AB203" s="106">
        <f t="shared" si="224"/>
        <v>18010</v>
      </c>
      <c r="AC203" s="172">
        <v>0</v>
      </c>
      <c r="AD203" s="106">
        <f t="shared" si="225"/>
        <v>18010</v>
      </c>
      <c r="AE203" s="172">
        <v>0</v>
      </c>
      <c r="AF203" s="106">
        <f t="shared" si="226"/>
        <v>18010</v>
      </c>
      <c r="AG203" s="198">
        <v>0</v>
      </c>
      <c r="AH203" s="106">
        <f t="shared" si="227"/>
        <v>18010</v>
      </c>
      <c r="AI203" s="172">
        <v>0</v>
      </c>
      <c r="AJ203" s="106">
        <f t="shared" si="228"/>
        <v>18010</v>
      </c>
      <c r="AK203" s="172">
        <v>0</v>
      </c>
      <c r="AL203" s="106">
        <f t="shared" si="229"/>
        <v>18010</v>
      </c>
      <c r="AM203" s="172">
        <v>0</v>
      </c>
      <c r="AN203" s="106">
        <f t="shared" si="230"/>
        <v>18010</v>
      </c>
      <c r="AO203" s="106">
        <v>16135</v>
      </c>
      <c r="AP203" s="113">
        <v>11028</v>
      </c>
      <c r="AQ203" s="243">
        <v>20610</v>
      </c>
      <c r="AR203" s="275"/>
      <c r="AS203" s="244">
        <f t="shared" si="167"/>
        <v>20610</v>
      </c>
      <c r="AT203" s="103"/>
      <c r="AU203" s="159">
        <f t="shared" si="190"/>
        <v>1.4016594124047879</v>
      </c>
      <c r="AV203" s="103"/>
    </row>
    <row r="204" spans="1:48" ht="12.75" hidden="1">
      <c r="A204" s="21"/>
      <c r="B204" s="27">
        <v>4170</v>
      </c>
      <c r="C204" s="18" t="s">
        <v>42</v>
      </c>
      <c r="D204" s="104">
        <v>2000</v>
      </c>
      <c r="E204" s="106"/>
      <c r="F204" s="106">
        <f t="shared" si="191"/>
        <v>2000</v>
      </c>
      <c r="G204" s="109"/>
      <c r="H204" s="106">
        <f t="shared" si="192"/>
        <v>2000</v>
      </c>
      <c r="I204" s="109"/>
      <c r="J204" s="106">
        <f t="shared" si="217"/>
        <v>2000</v>
      </c>
      <c r="K204" s="110"/>
      <c r="L204" s="106">
        <f t="shared" si="218"/>
        <v>2000</v>
      </c>
      <c r="M204" s="109"/>
      <c r="N204" s="106">
        <f t="shared" si="219"/>
        <v>2000</v>
      </c>
      <c r="O204" s="106"/>
      <c r="P204" s="106">
        <f t="shared" si="219"/>
        <v>2000</v>
      </c>
      <c r="Q204" s="109"/>
      <c r="R204" s="106">
        <f t="shared" si="219"/>
        <v>2000</v>
      </c>
      <c r="S204" s="109"/>
      <c r="T204" s="106">
        <f t="shared" si="220"/>
        <v>2000</v>
      </c>
      <c r="U204" s="109"/>
      <c r="V204" s="106">
        <f t="shared" si="221"/>
        <v>2000</v>
      </c>
      <c r="W204" s="109"/>
      <c r="X204" s="106">
        <f t="shared" si="222"/>
        <v>2000</v>
      </c>
      <c r="Y204" s="109"/>
      <c r="Z204" s="106">
        <f t="shared" si="223"/>
        <v>2000</v>
      </c>
      <c r="AA204" s="109"/>
      <c r="AB204" s="106">
        <f t="shared" si="224"/>
        <v>2000</v>
      </c>
      <c r="AC204" s="172"/>
      <c r="AD204" s="106">
        <f t="shared" si="225"/>
        <v>2000</v>
      </c>
      <c r="AE204" s="172"/>
      <c r="AF204" s="106">
        <f t="shared" si="226"/>
        <v>2000</v>
      </c>
      <c r="AG204" s="198"/>
      <c r="AH204" s="106">
        <f t="shared" si="227"/>
        <v>2000</v>
      </c>
      <c r="AI204" s="172"/>
      <c r="AJ204" s="106">
        <f t="shared" si="228"/>
        <v>2000</v>
      </c>
      <c r="AK204" s="172"/>
      <c r="AL204" s="106">
        <f t="shared" si="229"/>
        <v>2000</v>
      </c>
      <c r="AM204" s="172"/>
      <c r="AN204" s="106">
        <f t="shared" si="230"/>
        <v>2000</v>
      </c>
      <c r="AO204" s="106">
        <v>0</v>
      </c>
      <c r="AP204" s="113">
        <v>0</v>
      </c>
      <c r="AQ204" s="243">
        <v>2000</v>
      </c>
      <c r="AR204" s="275"/>
      <c r="AS204" s="244">
        <f t="shared" si="167"/>
        <v>2000</v>
      </c>
      <c r="AT204" s="103"/>
      <c r="AU204" s="159" t="e">
        <f t="shared" si="190"/>
        <v>#DIV/0!</v>
      </c>
      <c r="AV204" s="103"/>
    </row>
    <row r="205" spans="1:48" ht="12.75" hidden="1">
      <c r="A205" s="21"/>
      <c r="B205" s="27">
        <v>4210</v>
      </c>
      <c r="C205" s="18" t="s">
        <v>14</v>
      </c>
      <c r="D205" s="104">
        <v>74800</v>
      </c>
      <c r="E205" s="106">
        <v>-1000</v>
      </c>
      <c r="F205" s="106">
        <f t="shared" si="191"/>
        <v>73800</v>
      </c>
      <c r="G205" s="109"/>
      <c r="H205" s="106">
        <f t="shared" si="192"/>
        <v>73800</v>
      </c>
      <c r="I205" s="109"/>
      <c r="J205" s="106">
        <f t="shared" si="217"/>
        <v>73800</v>
      </c>
      <c r="K205" s="110"/>
      <c r="L205" s="106">
        <f t="shared" si="218"/>
        <v>73800</v>
      </c>
      <c r="M205" s="109"/>
      <c r="N205" s="106">
        <f t="shared" si="219"/>
        <v>73800</v>
      </c>
      <c r="O205" s="106"/>
      <c r="P205" s="106">
        <f t="shared" si="219"/>
        <v>73800</v>
      </c>
      <c r="Q205" s="109"/>
      <c r="R205" s="106">
        <f t="shared" si="219"/>
        <v>73800</v>
      </c>
      <c r="S205" s="109"/>
      <c r="T205" s="106">
        <f t="shared" si="220"/>
        <v>73800</v>
      </c>
      <c r="U205" s="109"/>
      <c r="V205" s="106">
        <f t="shared" si="221"/>
        <v>73800</v>
      </c>
      <c r="W205" s="109"/>
      <c r="X205" s="106">
        <f t="shared" si="222"/>
        <v>73800</v>
      </c>
      <c r="Y205" s="109"/>
      <c r="Z205" s="106">
        <f t="shared" si="223"/>
        <v>73800</v>
      </c>
      <c r="AA205" s="109"/>
      <c r="AB205" s="106">
        <f t="shared" si="224"/>
        <v>73800</v>
      </c>
      <c r="AC205" s="172"/>
      <c r="AD205" s="106">
        <f t="shared" si="225"/>
        <v>73800</v>
      </c>
      <c r="AE205" s="172"/>
      <c r="AF205" s="106">
        <f t="shared" si="226"/>
        <v>73800</v>
      </c>
      <c r="AG205" s="198"/>
      <c r="AH205" s="106">
        <f t="shared" si="227"/>
        <v>73800</v>
      </c>
      <c r="AI205" s="172"/>
      <c r="AJ205" s="106">
        <f t="shared" si="228"/>
        <v>73800</v>
      </c>
      <c r="AK205" s="172">
        <v>-1000</v>
      </c>
      <c r="AL205" s="106">
        <f t="shared" si="229"/>
        <v>72800</v>
      </c>
      <c r="AM205" s="172"/>
      <c r="AN205" s="106">
        <f t="shared" si="230"/>
        <v>72800</v>
      </c>
      <c r="AO205" s="106">
        <v>63471</v>
      </c>
      <c r="AP205" s="113">
        <v>18878</v>
      </c>
      <c r="AQ205" s="243">
        <v>75000</v>
      </c>
      <c r="AR205" s="275"/>
      <c r="AS205" s="244">
        <f t="shared" si="167"/>
        <v>75000</v>
      </c>
      <c r="AT205" s="103"/>
      <c r="AU205" s="159">
        <f t="shared" si="190"/>
        <v>2.9796588621676023</v>
      </c>
      <c r="AV205" s="103"/>
    </row>
    <row r="206" spans="1:48" ht="12.75" hidden="1">
      <c r="A206" s="21"/>
      <c r="B206" s="27">
        <v>4220</v>
      </c>
      <c r="C206" s="18" t="s">
        <v>78</v>
      </c>
      <c r="D206" s="104">
        <v>73500</v>
      </c>
      <c r="E206" s="106"/>
      <c r="F206" s="106">
        <f t="shared" si="191"/>
        <v>73500</v>
      </c>
      <c r="G206" s="109"/>
      <c r="H206" s="106">
        <f t="shared" si="192"/>
        <v>73500</v>
      </c>
      <c r="I206" s="109"/>
      <c r="J206" s="106">
        <f t="shared" si="217"/>
        <v>73500</v>
      </c>
      <c r="K206" s="110"/>
      <c r="L206" s="106">
        <f t="shared" si="218"/>
        <v>73500</v>
      </c>
      <c r="M206" s="109"/>
      <c r="N206" s="106">
        <f t="shared" si="219"/>
        <v>73500</v>
      </c>
      <c r="O206" s="106"/>
      <c r="P206" s="106">
        <f t="shared" si="219"/>
        <v>73500</v>
      </c>
      <c r="Q206" s="109"/>
      <c r="R206" s="106">
        <f t="shared" si="219"/>
        <v>73500</v>
      </c>
      <c r="S206" s="109"/>
      <c r="T206" s="106">
        <f t="shared" si="220"/>
        <v>73500</v>
      </c>
      <c r="U206" s="109"/>
      <c r="V206" s="106">
        <f t="shared" si="221"/>
        <v>73500</v>
      </c>
      <c r="W206" s="109"/>
      <c r="X206" s="106">
        <f t="shared" si="222"/>
        <v>73500</v>
      </c>
      <c r="Y206" s="109"/>
      <c r="Z206" s="106">
        <f t="shared" si="223"/>
        <v>73500</v>
      </c>
      <c r="AA206" s="109"/>
      <c r="AB206" s="106">
        <f t="shared" si="224"/>
        <v>73500</v>
      </c>
      <c r="AC206" s="172"/>
      <c r="AD206" s="106">
        <f t="shared" si="225"/>
        <v>73500</v>
      </c>
      <c r="AE206" s="172"/>
      <c r="AF206" s="106">
        <f t="shared" si="226"/>
        <v>73500</v>
      </c>
      <c r="AG206" s="198"/>
      <c r="AH206" s="106">
        <f t="shared" si="227"/>
        <v>73500</v>
      </c>
      <c r="AI206" s="172"/>
      <c r="AJ206" s="106">
        <f t="shared" si="228"/>
        <v>73500</v>
      </c>
      <c r="AK206" s="172"/>
      <c r="AL206" s="106">
        <f t="shared" si="229"/>
        <v>73500</v>
      </c>
      <c r="AM206" s="172"/>
      <c r="AN206" s="106">
        <f t="shared" si="230"/>
        <v>73500</v>
      </c>
      <c r="AO206" s="106">
        <v>61150</v>
      </c>
      <c r="AP206" s="113">
        <v>41675</v>
      </c>
      <c r="AQ206" s="243">
        <v>79500</v>
      </c>
      <c r="AR206" s="275"/>
      <c r="AS206" s="244">
        <f t="shared" si="167"/>
        <v>79500</v>
      </c>
      <c r="AT206" s="103"/>
      <c r="AU206" s="159">
        <f t="shared" si="190"/>
        <v>1.4307138572285543</v>
      </c>
      <c r="AV206" s="103"/>
    </row>
    <row r="207" spans="1:48" ht="12.75" hidden="1">
      <c r="A207" s="21"/>
      <c r="B207" s="27">
        <v>4240</v>
      </c>
      <c r="C207" s="18" t="s">
        <v>76</v>
      </c>
      <c r="D207" s="104">
        <v>6000</v>
      </c>
      <c r="E207" s="106"/>
      <c r="F207" s="106">
        <f t="shared" si="191"/>
        <v>6000</v>
      </c>
      <c r="G207" s="109"/>
      <c r="H207" s="106">
        <f t="shared" si="192"/>
        <v>6000</v>
      </c>
      <c r="I207" s="109"/>
      <c r="J207" s="106">
        <f t="shared" si="217"/>
        <v>6000</v>
      </c>
      <c r="K207" s="110"/>
      <c r="L207" s="106">
        <f t="shared" si="218"/>
        <v>6000</v>
      </c>
      <c r="M207" s="109"/>
      <c r="N207" s="106">
        <f t="shared" si="219"/>
        <v>6000</v>
      </c>
      <c r="O207" s="106"/>
      <c r="P207" s="106">
        <f t="shared" si="219"/>
        <v>6000</v>
      </c>
      <c r="Q207" s="109"/>
      <c r="R207" s="106">
        <f t="shared" si="219"/>
        <v>6000</v>
      </c>
      <c r="S207" s="109"/>
      <c r="T207" s="106">
        <f t="shared" si="220"/>
        <v>6000</v>
      </c>
      <c r="U207" s="109"/>
      <c r="V207" s="106">
        <f t="shared" si="221"/>
        <v>6000</v>
      </c>
      <c r="W207" s="109"/>
      <c r="X207" s="106">
        <f t="shared" si="222"/>
        <v>6000</v>
      </c>
      <c r="Y207" s="109"/>
      <c r="Z207" s="106">
        <f t="shared" si="223"/>
        <v>6000</v>
      </c>
      <c r="AA207" s="109"/>
      <c r="AB207" s="106">
        <f t="shared" si="224"/>
        <v>6000</v>
      </c>
      <c r="AC207" s="172"/>
      <c r="AD207" s="106">
        <f t="shared" si="225"/>
        <v>6000</v>
      </c>
      <c r="AE207" s="172"/>
      <c r="AF207" s="106">
        <f t="shared" si="226"/>
        <v>6000</v>
      </c>
      <c r="AG207" s="198"/>
      <c r="AH207" s="106">
        <f t="shared" si="227"/>
        <v>6000</v>
      </c>
      <c r="AI207" s="172"/>
      <c r="AJ207" s="106">
        <f t="shared" si="228"/>
        <v>6000</v>
      </c>
      <c r="AK207" s="172">
        <v>1000</v>
      </c>
      <c r="AL207" s="106">
        <f t="shared" si="229"/>
        <v>7000</v>
      </c>
      <c r="AM207" s="172"/>
      <c r="AN207" s="106">
        <f t="shared" si="230"/>
        <v>7000</v>
      </c>
      <c r="AO207" s="106">
        <v>3770</v>
      </c>
      <c r="AP207" s="113">
        <v>5894</v>
      </c>
      <c r="AQ207" s="243">
        <v>7000</v>
      </c>
      <c r="AR207" s="275"/>
      <c r="AS207" s="244">
        <f t="shared" si="167"/>
        <v>7000</v>
      </c>
      <c r="AT207" s="103"/>
      <c r="AU207" s="159">
        <f t="shared" si="190"/>
        <v>0.8907363420427553</v>
      </c>
      <c r="AV207" s="103"/>
    </row>
    <row r="208" spans="1:48" ht="12.75" hidden="1">
      <c r="A208" s="21"/>
      <c r="B208" s="27">
        <v>4260</v>
      </c>
      <c r="C208" s="18" t="s">
        <v>43</v>
      </c>
      <c r="D208" s="104">
        <v>25000</v>
      </c>
      <c r="E208" s="106"/>
      <c r="F208" s="106">
        <f t="shared" si="191"/>
        <v>25000</v>
      </c>
      <c r="G208" s="109"/>
      <c r="H208" s="106">
        <f t="shared" si="192"/>
        <v>25000</v>
      </c>
      <c r="I208" s="109"/>
      <c r="J208" s="106">
        <f t="shared" si="217"/>
        <v>25000</v>
      </c>
      <c r="K208" s="110"/>
      <c r="L208" s="106">
        <f t="shared" si="218"/>
        <v>25000</v>
      </c>
      <c r="M208" s="109"/>
      <c r="N208" s="106">
        <f t="shared" si="219"/>
        <v>25000</v>
      </c>
      <c r="O208" s="106"/>
      <c r="P208" s="106">
        <f t="shared" si="219"/>
        <v>25000</v>
      </c>
      <c r="Q208" s="109"/>
      <c r="R208" s="106">
        <f t="shared" si="219"/>
        <v>25000</v>
      </c>
      <c r="S208" s="109"/>
      <c r="T208" s="106">
        <f t="shared" si="220"/>
        <v>25000</v>
      </c>
      <c r="U208" s="109"/>
      <c r="V208" s="106">
        <f t="shared" si="221"/>
        <v>25000</v>
      </c>
      <c r="W208" s="109"/>
      <c r="X208" s="106">
        <f t="shared" si="222"/>
        <v>25000</v>
      </c>
      <c r="Y208" s="109"/>
      <c r="Z208" s="106">
        <f t="shared" si="223"/>
        <v>25000</v>
      </c>
      <c r="AA208" s="109"/>
      <c r="AB208" s="106">
        <f t="shared" si="224"/>
        <v>25000</v>
      </c>
      <c r="AC208" s="109"/>
      <c r="AD208" s="106">
        <f t="shared" si="225"/>
        <v>25000</v>
      </c>
      <c r="AE208" s="109"/>
      <c r="AF208" s="106">
        <f t="shared" si="226"/>
        <v>25000</v>
      </c>
      <c r="AG208" s="147"/>
      <c r="AH208" s="106">
        <f t="shared" si="227"/>
        <v>25000</v>
      </c>
      <c r="AI208" s="109"/>
      <c r="AJ208" s="106">
        <f t="shared" si="228"/>
        <v>25000</v>
      </c>
      <c r="AK208" s="109"/>
      <c r="AL208" s="106">
        <f t="shared" si="229"/>
        <v>25000</v>
      </c>
      <c r="AM208" s="109"/>
      <c r="AN208" s="106">
        <f t="shared" si="230"/>
        <v>25000</v>
      </c>
      <c r="AO208" s="106">
        <v>21431</v>
      </c>
      <c r="AP208" s="113">
        <v>13617</v>
      </c>
      <c r="AQ208" s="243">
        <v>24000</v>
      </c>
      <c r="AR208" s="275"/>
      <c r="AS208" s="244">
        <f t="shared" si="167"/>
        <v>24000</v>
      </c>
      <c r="AT208" s="103"/>
      <c r="AU208" s="164">
        <f t="shared" si="190"/>
        <v>1.3218770654329148</v>
      </c>
      <c r="AV208" s="103">
        <f>(AP208/3*4)*130%</f>
        <v>23602.8</v>
      </c>
    </row>
    <row r="209" spans="1:48" ht="12.75" hidden="1">
      <c r="A209" s="21"/>
      <c r="B209" s="27">
        <v>4270</v>
      </c>
      <c r="C209" s="18" t="s">
        <v>24</v>
      </c>
      <c r="D209" s="104">
        <v>10000</v>
      </c>
      <c r="E209" s="106"/>
      <c r="F209" s="106">
        <f t="shared" si="191"/>
        <v>10000</v>
      </c>
      <c r="G209" s="109"/>
      <c r="H209" s="106">
        <f t="shared" si="192"/>
        <v>10000</v>
      </c>
      <c r="I209" s="109"/>
      <c r="J209" s="106">
        <f t="shared" si="217"/>
        <v>10000</v>
      </c>
      <c r="K209" s="110"/>
      <c r="L209" s="106">
        <f t="shared" si="218"/>
        <v>10000</v>
      </c>
      <c r="M209" s="109"/>
      <c r="N209" s="106">
        <f t="shared" si="219"/>
        <v>10000</v>
      </c>
      <c r="O209" s="106"/>
      <c r="P209" s="106">
        <f t="shared" si="219"/>
        <v>10000</v>
      </c>
      <c r="Q209" s="109"/>
      <c r="R209" s="106">
        <f t="shared" si="219"/>
        <v>10000</v>
      </c>
      <c r="S209" s="109"/>
      <c r="T209" s="106">
        <f t="shared" si="220"/>
        <v>10000</v>
      </c>
      <c r="U209" s="109"/>
      <c r="V209" s="106">
        <f t="shared" si="221"/>
        <v>10000</v>
      </c>
      <c r="W209" s="109"/>
      <c r="X209" s="106">
        <f t="shared" si="222"/>
        <v>10000</v>
      </c>
      <c r="Y209" s="109"/>
      <c r="Z209" s="106">
        <f t="shared" si="223"/>
        <v>10000</v>
      </c>
      <c r="AA209" s="109"/>
      <c r="AB209" s="106">
        <f t="shared" si="224"/>
        <v>10000</v>
      </c>
      <c r="AC209" s="109"/>
      <c r="AD209" s="106">
        <f t="shared" si="225"/>
        <v>10000</v>
      </c>
      <c r="AE209" s="109"/>
      <c r="AF209" s="106">
        <f t="shared" si="226"/>
        <v>10000</v>
      </c>
      <c r="AG209" s="147"/>
      <c r="AH209" s="106">
        <f t="shared" si="227"/>
        <v>10000</v>
      </c>
      <c r="AI209" s="109"/>
      <c r="AJ209" s="106">
        <f t="shared" si="228"/>
        <v>10000</v>
      </c>
      <c r="AK209" s="109"/>
      <c r="AL209" s="106">
        <f t="shared" si="229"/>
        <v>10000</v>
      </c>
      <c r="AM209" s="109"/>
      <c r="AN209" s="106">
        <f t="shared" si="230"/>
        <v>10000</v>
      </c>
      <c r="AO209" s="106">
        <v>28888</v>
      </c>
      <c r="AP209" s="113">
        <v>6570</v>
      </c>
      <c r="AQ209" s="243">
        <v>10000</v>
      </c>
      <c r="AR209" s="275"/>
      <c r="AS209" s="244">
        <f t="shared" si="167"/>
        <v>10000</v>
      </c>
      <c r="AT209" s="103"/>
      <c r="AU209" s="159">
        <f t="shared" si="190"/>
        <v>1.1415525114155252</v>
      </c>
      <c r="AV209" s="103"/>
    </row>
    <row r="210" spans="1:48" ht="12.75" hidden="1">
      <c r="A210" s="21"/>
      <c r="B210" s="27">
        <v>4280</v>
      </c>
      <c r="C210" s="18" t="s">
        <v>44</v>
      </c>
      <c r="D210" s="104">
        <v>1300</v>
      </c>
      <c r="E210" s="106"/>
      <c r="F210" s="106">
        <f t="shared" si="191"/>
        <v>1300</v>
      </c>
      <c r="G210" s="109"/>
      <c r="H210" s="106">
        <f t="shared" si="192"/>
        <v>1300</v>
      </c>
      <c r="I210" s="109"/>
      <c r="J210" s="106">
        <f t="shared" si="217"/>
        <v>1300</v>
      </c>
      <c r="K210" s="110"/>
      <c r="L210" s="106">
        <f t="shared" si="218"/>
        <v>1300</v>
      </c>
      <c r="M210" s="109"/>
      <c r="N210" s="106">
        <f t="shared" si="219"/>
        <v>1300</v>
      </c>
      <c r="O210" s="106"/>
      <c r="P210" s="106">
        <f t="shared" si="219"/>
        <v>1300</v>
      </c>
      <c r="Q210" s="109"/>
      <c r="R210" s="106">
        <f t="shared" si="219"/>
        <v>1300</v>
      </c>
      <c r="S210" s="109"/>
      <c r="T210" s="106">
        <f t="shared" si="220"/>
        <v>1300</v>
      </c>
      <c r="U210" s="109"/>
      <c r="V210" s="106">
        <f t="shared" si="221"/>
        <v>1300</v>
      </c>
      <c r="W210" s="109"/>
      <c r="X210" s="106">
        <f t="shared" si="222"/>
        <v>1300</v>
      </c>
      <c r="Y210" s="109"/>
      <c r="Z210" s="106">
        <f t="shared" si="223"/>
        <v>1300</v>
      </c>
      <c r="AA210" s="109"/>
      <c r="AB210" s="106">
        <f t="shared" si="224"/>
        <v>1300</v>
      </c>
      <c r="AC210" s="109"/>
      <c r="AD210" s="106">
        <f t="shared" si="225"/>
        <v>1300</v>
      </c>
      <c r="AE210" s="109"/>
      <c r="AF210" s="106">
        <f t="shared" si="226"/>
        <v>1300</v>
      </c>
      <c r="AG210" s="147"/>
      <c r="AH210" s="106">
        <f t="shared" si="227"/>
        <v>1300</v>
      </c>
      <c r="AI210" s="109"/>
      <c r="AJ210" s="106">
        <f t="shared" si="228"/>
        <v>1300</v>
      </c>
      <c r="AK210" s="109"/>
      <c r="AL210" s="106">
        <f t="shared" si="229"/>
        <v>1300</v>
      </c>
      <c r="AM210" s="109"/>
      <c r="AN210" s="106">
        <f t="shared" si="230"/>
        <v>1300</v>
      </c>
      <c r="AO210" s="106">
        <v>888</v>
      </c>
      <c r="AP210" s="113">
        <v>516</v>
      </c>
      <c r="AQ210" s="243">
        <v>1300</v>
      </c>
      <c r="AR210" s="275"/>
      <c r="AS210" s="244">
        <f t="shared" si="167"/>
        <v>1300</v>
      </c>
      <c r="AT210" s="103"/>
      <c r="AU210" s="159">
        <f t="shared" si="190"/>
        <v>1.8895348837209303</v>
      </c>
      <c r="AV210" s="103"/>
    </row>
    <row r="211" spans="1:48" ht="12.75" hidden="1">
      <c r="A211" s="21"/>
      <c r="B211" s="27">
        <v>4300</v>
      </c>
      <c r="C211" s="18" t="s">
        <v>15</v>
      </c>
      <c r="D211" s="104">
        <v>14200</v>
      </c>
      <c r="E211" s="106"/>
      <c r="F211" s="106">
        <f t="shared" si="191"/>
        <v>14200</v>
      </c>
      <c r="G211" s="109"/>
      <c r="H211" s="106">
        <f t="shared" si="192"/>
        <v>14200</v>
      </c>
      <c r="I211" s="109"/>
      <c r="J211" s="106">
        <f t="shared" si="217"/>
        <v>14200</v>
      </c>
      <c r="K211" s="110"/>
      <c r="L211" s="106">
        <f t="shared" si="218"/>
        <v>14200</v>
      </c>
      <c r="M211" s="109"/>
      <c r="N211" s="106">
        <f t="shared" si="219"/>
        <v>14200</v>
      </c>
      <c r="O211" s="106"/>
      <c r="P211" s="106">
        <f t="shared" si="219"/>
        <v>14200</v>
      </c>
      <c r="Q211" s="109"/>
      <c r="R211" s="106">
        <f t="shared" si="219"/>
        <v>14200</v>
      </c>
      <c r="S211" s="109"/>
      <c r="T211" s="106">
        <f t="shared" si="220"/>
        <v>14200</v>
      </c>
      <c r="U211" s="109"/>
      <c r="V211" s="106">
        <f t="shared" si="221"/>
        <v>14200</v>
      </c>
      <c r="W211" s="109"/>
      <c r="X211" s="106">
        <f t="shared" si="222"/>
        <v>14200</v>
      </c>
      <c r="Y211" s="109"/>
      <c r="Z211" s="106">
        <f t="shared" si="223"/>
        <v>14200</v>
      </c>
      <c r="AA211" s="109"/>
      <c r="AB211" s="106">
        <f t="shared" si="224"/>
        <v>14200</v>
      </c>
      <c r="AC211" s="109"/>
      <c r="AD211" s="106">
        <f t="shared" si="225"/>
        <v>14200</v>
      </c>
      <c r="AE211" s="109"/>
      <c r="AF211" s="106">
        <f t="shared" si="226"/>
        <v>14200</v>
      </c>
      <c r="AG211" s="147">
        <v>-1000</v>
      </c>
      <c r="AH211" s="106">
        <f t="shared" si="227"/>
        <v>13200</v>
      </c>
      <c r="AI211" s="109"/>
      <c r="AJ211" s="106">
        <f t="shared" si="228"/>
        <v>13200</v>
      </c>
      <c r="AK211" s="109"/>
      <c r="AL211" s="106">
        <f t="shared" si="229"/>
        <v>13200</v>
      </c>
      <c r="AM211" s="109"/>
      <c r="AN211" s="106">
        <f t="shared" si="230"/>
        <v>13200</v>
      </c>
      <c r="AO211" s="106">
        <v>12092</v>
      </c>
      <c r="AP211" s="113">
        <v>5291</v>
      </c>
      <c r="AQ211" s="243">
        <v>14000</v>
      </c>
      <c r="AR211" s="275"/>
      <c r="AS211" s="244">
        <f t="shared" si="167"/>
        <v>14000</v>
      </c>
      <c r="AT211" s="103"/>
      <c r="AU211" s="159">
        <f t="shared" si="190"/>
        <v>1.9845019845019845</v>
      </c>
      <c r="AV211" s="103"/>
    </row>
    <row r="212" spans="1:48" ht="12.75" hidden="1">
      <c r="A212" s="21"/>
      <c r="B212" s="27">
        <v>4350</v>
      </c>
      <c r="C212" s="18" t="s">
        <v>55</v>
      </c>
      <c r="D212" s="104">
        <v>1200</v>
      </c>
      <c r="E212" s="106"/>
      <c r="F212" s="106">
        <f t="shared" si="191"/>
        <v>1200</v>
      </c>
      <c r="G212" s="109"/>
      <c r="H212" s="106">
        <f t="shared" si="192"/>
        <v>1200</v>
      </c>
      <c r="I212" s="109"/>
      <c r="J212" s="106">
        <f t="shared" si="217"/>
        <v>1200</v>
      </c>
      <c r="K212" s="110"/>
      <c r="L212" s="106">
        <f t="shared" si="218"/>
        <v>1200</v>
      </c>
      <c r="M212" s="109"/>
      <c r="N212" s="106">
        <f t="shared" si="219"/>
        <v>1200</v>
      </c>
      <c r="O212" s="106"/>
      <c r="P212" s="106">
        <f t="shared" si="219"/>
        <v>1200</v>
      </c>
      <c r="Q212" s="109"/>
      <c r="R212" s="106">
        <f t="shared" si="219"/>
        <v>1200</v>
      </c>
      <c r="S212" s="109"/>
      <c r="T212" s="106">
        <f t="shared" si="220"/>
        <v>1200</v>
      </c>
      <c r="U212" s="109"/>
      <c r="V212" s="106">
        <f t="shared" si="221"/>
        <v>1200</v>
      </c>
      <c r="W212" s="109"/>
      <c r="X212" s="106">
        <f t="shared" si="222"/>
        <v>1200</v>
      </c>
      <c r="Y212" s="109"/>
      <c r="Z212" s="106">
        <f t="shared" si="223"/>
        <v>1200</v>
      </c>
      <c r="AA212" s="109"/>
      <c r="AB212" s="106">
        <f t="shared" si="224"/>
        <v>1200</v>
      </c>
      <c r="AC212" s="109"/>
      <c r="AD212" s="106">
        <f t="shared" si="225"/>
        <v>1200</v>
      </c>
      <c r="AE212" s="109"/>
      <c r="AF212" s="106">
        <f t="shared" si="226"/>
        <v>1200</v>
      </c>
      <c r="AG212" s="147"/>
      <c r="AH212" s="106">
        <f t="shared" si="227"/>
        <v>1200</v>
      </c>
      <c r="AI212" s="109"/>
      <c r="AJ212" s="106">
        <f t="shared" si="228"/>
        <v>1200</v>
      </c>
      <c r="AK212" s="109"/>
      <c r="AL212" s="106">
        <f t="shared" si="229"/>
        <v>1200</v>
      </c>
      <c r="AM212" s="109"/>
      <c r="AN212" s="106">
        <f t="shared" si="230"/>
        <v>1200</v>
      </c>
      <c r="AO212" s="106">
        <v>564</v>
      </c>
      <c r="AP212" s="113">
        <v>673</v>
      </c>
      <c r="AQ212" s="243">
        <v>1500</v>
      </c>
      <c r="AR212" s="275"/>
      <c r="AS212" s="244">
        <f t="shared" si="167"/>
        <v>1500</v>
      </c>
      <c r="AT212" s="103"/>
      <c r="AU212" s="159">
        <f t="shared" si="190"/>
        <v>1.6716196136701336</v>
      </c>
      <c r="AV212" s="103"/>
    </row>
    <row r="213" spans="1:48" ht="25.5" hidden="1">
      <c r="A213" s="21"/>
      <c r="B213" s="27">
        <v>4360</v>
      </c>
      <c r="C213" s="18" t="s">
        <v>46</v>
      </c>
      <c r="D213" s="104">
        <v>0</v>
      </c>
      <c r="E213" s="106">
        <v>1000</v>
      </c>
      <c r="F213" s="106">
        <f t="shared" si="191"/>
        <v>1000</v>
      </c>
      <c r="G213" s="109"/>
      <c r="H213" s="106">
        <f t="shared" si="192"/>
        <v>1000</v>
      </c>
      <c r="I213" s="109"/>
      <c r="J213" s="106">
        <f t="shared" si="217"/>
        <v>1000</v>
      </c>
      <c r="K213" s="110"/>
      <c r="L213" s="106">
        <f t="shared" si="218"/>
        <v>1000</v>
      </c>
      <c r="M213" s="109"/>
      <c r="N213" s="106">
        <f t="shared" si="219"/>
        <v>1000</v>
      </c>
      <c r="O213" s="106"/>
      <c r="P213" s="106">
        <f t="shared" si="219"/>
        <v>1000</v>
      </c>
      <c r="Q213" s="109"/>
      <c r="R213" s="106">
        <f t="shared" si="219"/>
        <v>1000</v>
      </c>
      <c r="S213" s="109"/>
      <c r="T213" s="106">
        <f t="shared" si="220"/>
        <v>1000</v>
      </c>
      <c r="U213" s="109"/>
      <c r="V213" s="106">
        <f t="shared" si="221"/>
        <v>1000</v>
      </c>
      <c r="W213" s="109"/>
      <c r="X213" s="106">
        <f t="shared" si="222"/>
        <v>1000</v>
      </c>
      <c r="Y213" s="109"/>
      <c r="Z213" s="106">
        <f t="shared" si="223"/>
        <v>1000</v>
      </c>
      <c r="AA213" s="109"/>
      <c r="AB213" s="106">
        <f t="shared" si="224"/>
        <v>1000</v>
      </c>
      <c r="AC213" s="109"/>
      <c r="AD213" s="106">
        <f t="shared" si="225"/>
        <v>1000</v>
      </c>
      <c r="AE213" s="109"/>
      <c r="AF213" s="106">
        <f t="shared" si="226"/>
        <v>1000</v>
      </c>
      <c r="AG213" s="147"/>
      <c r="AH213" s="106">
        <f t="shared" si="227"/>
        <v>1000</v>
      </c>
      <c r="AI213" s="109"/>
      <c r="AJ213" s="106">
        <f t="shared" si="228"/>
        <v>1000</v>
      </c>
      <c r="AK213" s="109"/>
      <c r="AL213" s="106">
        <f t="shared" si="229"/>
        <v>1000</v>
      </c>
      <c r="AM213" s="109"/>
      <c r="AN213" s="106">
        <f t="shared" si="230"/>
        <v>1000</v>
      </c>
      <c r="AO213" s="106">
        <v>0</v>
      </c>
      <c r="AP213" s="113">
        <v>547</v>
      </c>
      <c r="AQ213" s="243">
        <v>1000</v>
      </c>
      <c r="AR213" s="275"/>
      <c r="AS213" s="244">
        <f t="shared" si="167"/>
        <v>1000</v>
      </c>
      <c r="AT213" s="103"/>
      <c r="AU213" s="159">
        <f t="shared" si="190"/>
        <v>1.3711151736745886</v>
      </c>
      <c r="AV213" s="103">
        <f>AP213/3*4</f>
        <v>729.3333333333334</v>
      </c>
    </row>
    <row r="214" spans="1:48" ht="25.5" hidden="1">
      <c r="A214" s="21"/>
      <c r="B214" s="27">
        <v>4370</v>
      </c>
      <c r="C214" s="18" t="s">
        <v>47</v>
      </c>
      <c r="D214" s="104">
        <v>5000</v>
      </c>
      <c r="E214" s="106"/>
      <c r="F214" s="106">
        <f t="shared" si="191"/>
        <v>5000</v>
      </c>
      <c r="G214" s="109"/>
      <c r="H214" s="106">
        <f t="shared" si="192"/>
        <v>5000</v>
      </c>
      <c r="I214" s="109"/>
      <c r="J214" s="106">
        <f t="shared" si="217"/>
        <v>5000</v>
      </c>
      <c r="K214" s="110"/>
      <c r="L214" s="106">
        <f t="shared" si="218"/>
        <v>5000</v>
      </c>
      <c r="M214" s="109"/>
      <c r="N214" s="106">
        <f t="shared" si="219"/>
        <v>5000</v>
      </c>
      <c r="O214" s="106"/>
      <c r="P214" s="106">
        <f t="shared" si="219"/>
        <v>5000</v>
      </c>
      <c r="Q214" s="109"/>
      <c r="R214" s="106">
        <f t="shared" si="219"/>
        <v>5000</v>
      </c>
      <c r="S214" s="109"/>
      <c r="T214" s="106">
        <f t="shared" si="220"/>
        <v>5000</v>
      </c>
      <c r="U214" s="109"/>
      <c r="V214" s="106">
        <f t="shared" si="221"/>
        <v>5000</v>
      </c>
      <c r="W214" s="109"/>
      <c r="X214" s="106">
        <f t="shared" si="222"/>
        <v>5000</v>
      </c>
      <c r="Y214" s="109"/>
      <c r="Z214" s="106">
        <f t="shared" si="223"/>
        <v>5000</v>
      </c>
      <c r="AA214" s="109"/>
      <c r="AB214" s="106">
        <f t="shared" si="224"/>
        <v>5000</v>
      </c>
      <c r="AC214" s="109"/>
      <c r="AD214" s="106">
        <f t="shared" si="225"/>
        <v>5000</v>
      </c>
      <c r="AE214" s="109"/>
      <c r="AF214" s="106">
        <f t="shared" si="226"/>
        <v>5000</v>
      </c>
      <c r="AG214" s="147"/>
      <c r="AH214" s="106">
        <f t="shared" si="227"/>
        <v>5000</v>
      </c>
      <c r="AI214" s="109"/>
      <c r="AJ214" s="106">
        <f t="shared" si="228"/>
        <v>5000</v>
      </c>
      <c r="AK214" s="109"/>
      <c r="AL214" s="106">
        <f t="shared" si="229"/>
        <v>5000</v>
      </c>
      <c r="AM214" s="109"/>
      <c r="AN214" s="106">
        <f t="shared" si="230"/>
        <v>5000</v>
      </c>
      <c r="AO214" s="106">
        <v>2539</v>
      </c>
      <c r="AP214" s="113">
        <v>2165</v>
      </c>
      <c r="AQ214" s="243">
        <v>3200</v>
      </c>
      <c r="AR214" s="275"/>
      <c r="AS214" s="244">
        <f t="shared" si="167"/>
        <v>3200</v>
      </c>
      <c r="AT214" s="103"/>
      <c r="AU214" s="159">
        <f t="shared" si="190"/>
        <v>1.1085450346420325</v>
      </c>
      <c r="AV214" s="103">
        <f>AP214/3*4</f>
        <v>2886.6666666666665</v>
      </c>
    </row>
    <row r="215" spans="1:48" ht="14.25" customHeight="1" hidden="1">
      <c r="A215" s="21"/>
      <c r="B215" s="27">
        <v>4390</v>
      </c>
      <c r="C215" s="18" t="s">
        <v>79</v>
      </c>
      <c r="D215" s="104">
        <v>1300</v>
      </c>
      <c r="E215" s="106"/>
      <c r="F215" s="106">
        <f t="shared" si="191"/>
        <v>1300</v>
      </c>
      <c r="G215" s="109"/>
      <c r="H215" s="106">
        <f t="shared" si="192"/>
        <v>1300</v>
      </c>
      <c r="I215" s="109"/>
      <c r="J215" s="106">
        <f t="shared" si="217"/>
        <v>1300</v>
      </c>
      <c r="K215" s="110"/>
      <c r="L215" s="106">
        <f t="shared" si="218"/>
        <v>1300</v>
      </c>
      <c r="M215" s="109"/>
      <c r="N215" s="106">
        <f t="shared" si="219"/>
        <v>1300</v>
      </c>
      <c r="O215" s="106"/>
      <c r="P215" s="106">
        <f t="shared" si="219"/>
        <v>1300</v>
      </c>
      <c r="Q215" s="109"/>
      <c r="R215" s="106">
        <f t="shared" si="219"/>
        <v>1300</v>
      </c>
      <c r="S215" s="109"/>
      <c r="T215" s="106">
        <f t="shared" si="220"/>
        <v>1300</v>
      </c>
      <c r="U215" s="109"/>
      <c r="V215" s="106">
        <f t="shared" si="221"/>
        <v>1300</v>
      </c>
      <c r="W215" s="109"/>
      <c r="X215" s="106">
        <f t="shared" si="222"/>
        <v>1300</v>
      </c>
      <c r="Y215" s="109"/>
      <c r="Z215" s="106">
        <f t="shared" si="223"/>
        <v>1300</v>
      </c>
      <c r="AA215" s="109"/>
      <c r="AB215" s="106">
        <f t="shared" si="224"/>
        <v>1300</v>
      </c>
      <c r="AC215" s="172"/>
      <c r="AD215" s="106">
        <f t="shared" si="225"/>
        <v>1300</v>
      </c>
      <c r="AE215" s="172"/>
      <c r="AF215" s="106">
        <f t="shared" si="226"/>
        <v>1300</v>
      </c>
      <c r="AG215" s="198">
        <v>1000</v>
      </c>
      <c r="AH215" s="106">
        <f t="shared" si="227"/>
        <v>2300</v>
      </c>
      <c r="AI215" s="172"/>
      <c r="AJ215" s="106">
        <f t="shared" si="228"/>
        <v>2300</v>
      </c>
      <c r="AK215" s="172"/>
      <c r="AL215" s="106">
        <f t="shared" si="229"/>
        <v>2300</v>
      </c>
      <c r="AM215" s="172"/>
      <c r="AN215" s="106">
        <f t="shared" si="230"/>
        <v>2300</v>
      </c>
      <c r="AO215" s="106">
        <v>566</v>
      </c>
      <c r="AP215" s="113">
        <v>464</v>
      </c>
      <c r="AQ215" s="243">
        <v>2000</v>
      </c>
      <c r="AR215" s="275"/>
      <c r="AS215" s="244">
        <f aca="true" t="shared" si="231" ref="AS215:AS278">AR215+AQ215</f>
        <v>2000</v>
      </c>
      <c r="AT215" s="103"/>
      <c r="AU215" s="159">
        <f t="shared" si="190"/>
        <v>3.2327586206896552</v>
      </c>
      <c r="AV215" s="103">
        <f>AP215/3*4</f>
        <v>618.6666666666666</v>
      </c>
    </row>
    <row r="216" spans="1:48" ht="12.75" hidden="1">
      <c r="A216" s="21"/>
      <c r="B216" s="27">
        <v>4410</v>
      </c>
      <c r="C216" s="18" t="s">
        <v>48</v>
      </c>
      <c r="D216" s="104">
        <v>2000</v>
      </c>
      <c r="E216" s="106"/>
      <c r="F216" s="106">
        <f t="shared" si="191"/>
        <v>2000</v>
      </c>
      <c r="G216" s="109"/>
      <c r="H216" s="106">
        <f t="shared" si="192"/>
        <v>2000</v>
      </c>
      <c r="I216" s="109"/>
      <c r="J216" s="106">
        <f t="shared" si="217"/>
        <v>2000</v>
      </c>
      <c r="K216" s="110"/>
      <c r="L216" s="106">
        <f t="shared" si="218"/>
        <v>2000</v>
      </c>
      <c r="M216" s="109"/>
      <c r="N216" s="106">
        <f t="shared" si="219"/>
        <v>2000</v>
      </c>
      <c r="O216" s="106"/>
      <c r="P216" s="106">
        <f t="shared" si="219"/>
        <v>2000</v>
      </c>
      <c r="Q216" s="109"/>
      <c r="R216" s="106">
        <f t="shared" si="219"/>
        <v>2000</v>
      </c>
      <c r="S216" s="109"/>
      <c r="T216" s="106">
        <f t="shared" si="220"/>
        <v>2000</v>
      </c>
      <c r="U216" s="109"/>
      <c r="V216" s="106">
        <f t="shared" si="221"/>
        <v>2000</v>
      </c>
      <c r="W216" s="109"/>
      <c r="X216" s="106">
        <f t="shared" si="222"/>
        <v>2000</v>
      </c>
      <c r="Y216" s="109"/>
      <c r="Z216" s="106">
        <f t="shared" si="223"/>
        <v>2000</v>
      </c>
      <c r="AA216" s="109"/>
      <c r="AB216" s="106">
        <f t="shared" si="224"/>
        <v>2000</v>
      </c>
      <c r="AC216" s="172"/>
      <c r="AD216" s="106">
        <f t="shared" si="225"/>
        <v>2000</v>
      </c>
      <c r="AE216" s="172"/>
      <c r="AF216" s="106">
        <f t="shared" si="226"/>
        <v>2000</v>
      </c>
      <c r="AG216" s="198"/>
      <c r="AH216" s="106">
        <f t="shared" si="227"/>
        <v>2000</v>
      </c>
      <c r="AI216" s="172"/>
      <c r="AJ216" s="106">
        <f t="shared" si="228"/>
        <v>2000</v>
      </c>
      <c r="AK216" s="172"/>
      <c r="AL216" s="106">
        <f t="shared" si="229"/>
        <v>2000</v>
      </c>
      <c r="AM216" s="172"/>
      <c r="AN216" s="106">
        <f t="shared" si="230"/>
        <v>2000</v>
      </c>
      <c r="AO216" s="106">
        <v>943</v>
      </c>
      <c r="AP216" s="113">
        <v>669</v>
      </c>
      <c r="AQ216" s="243">
        <v>1500</v>
      </c>
      <c r="AR216" s="275"/>
      <c r="AS216" s="244">
        <f t="shared" si="231"/>
        <v>1500</v>
      </c>
      <c r="AT216" s="103"/>
      <c r="AU216" s="159">
        <f t="shared" si="190"/>
        <v>1.6816143497757847</v>
      </c>
      <c r="AV216" s="103">
        <f>AP216/3*4</f>
        <v>892</v>
      </c>
    </row>
    <row r="217" spans="1:48" ht="12.75" hidden="1">
      <c r="A217" s="21"/>
      <c r="B217" s="27">
        <v>4430</v>
      </c>
      <c r="C217" s="18" t="s">
        <v>16</v>
      </c>
      <c r="D217" s="104">
        <v>2000</v>
      </c>
      <c r="E217" s="106"/>
      <c r="F217" s="106">
        <f t="shared" si="191"/>
        <v>2000</v>
      </c>
      <c r="G217" s="109"/>
      <c r="H217" s="106">
        <f t="shared" si="192"/>
        <v>2000</v>
      </c>
      <c r="I217" s="109"/>
      <c r="J217" s="106">
        <f t="shared" si="217"/>
        <v>2000</v>
      </c>
      <c r="K217" s="110"/>
      <c r="L217" s="106">
        <f t="shared" si="218"/>
        <v>2000</v>
      </c>
      <c r="M217" s="109"/>
      <c r="N217" s="106">
        <f t="shared" si="219"/>
        <v>2000</v>
      </c>
      <c r="O217" s="106"/>
      <c r="P217" s="106">
        <f t="shared" si="219"/>
        <v>2000</v>
      </c>
      <c r="Q217" s="109"/>
      <c r="R217" s="106">
        <f t="shared" si="219"/>
        <v>2000</v>
      </c>
      <c r="S217" s="109"/>
      <c r="T217" s="106">
        <f t="shared" si="220"/>
        <v>2000</v>
      </c>
      <c r="U217" s="109"/>
      <c r="V217" s="106">
        <f t="shared" si="221"/>
        <v>2000</v>
      </c>
      <c r="W217" s="109"/>
      <c r="X217" s="106">
        <f t="shared" si="222"/>
        <v>2000</v>
      </c>
      <c r="Y217" s="109"/>
      <c r="Z217" s="106">
        <f t="shared" si="223"/>
        <v>2000</v>
      </c>
      <c r="AA217" s="109"/>
      <c r="AB217" s="106">
        <f t="shared" si="224"/>
        <v>2000</v>
      </c>
      <c r="AC217" s="172"/>
      <c r="AD217" s="106">
        <f t="shared" si="225"/>
        <v>2000</v>
      </c>
      <c r="AE217" s="172"/>
      <c r="AF217" s="106">
        <f t="shared" si="226"/>
        <v>2000</v>
      </c>
      <c r="AG217" s="198"/>
      <c r="AH217" s="106">
        <f t="shared" si="227"/>
        <v>2000</v>
      </c>
      <c r="AI217" s="172"/>
      <c r="AJ217" s="106">
        <f t="shared" si="228"/>
        <v>2000</v>
      </c>
      <c r="AK217" s="172"/>
      <c r="AL217" s="106">
        <f t="shared" si="229"/>
        <v>2000</v>
      </c>
      <c r="AM217" s="172"/>
      <c r="AN217" s="106">
        <f t="shared" si="230"/>
        <v>2000</v>
      </c>
      <c r="AO217" s="106">
        <v>0</v>
      </c>
      <c r="AP217" s="113">
        <v>515</v>
      </c>
      <c r="AQ217" s="243">
        <v>2500</v>
      </c>
      <c r="AR217" s="275"/>
      <c r="AS217" s="244">
        <f t="shared" si="231"/>
        <v>2500</v>
      </c>
      <c r="AT217" s="103"/>
      <c r="AU217" s="159">
        <f t="shared" si="190"/>
        <v>3.6407766990291264</v>
      </c>
      <c r="AV217" s="103">
        <f>AP217/3*4</f>
        <v>686.6666666666666</v>
      </c>
    </row>
    <row r="218" spans="1:48" ht="12.75" hidden="1">
      <c r="A218" s="21"/>
      <c r="B218" s="27">
        <v>4440</v>
      </c>
      <c r="C218" s="18" t="s">
        <v>50</v>
      </c>
      <c r="D218" s="104">
        <v>38181</v>
      </c>
      <c r="E218" s="106"/>
      <c r="F218" s="106">
        <f t="shared" si="191"/>
        <v>38181</v>
      </c>
      <c r="G218" s="109"/>
      <c r="H218" s="106">
        <f t="shared" si="192"/>
        <v>38181</v>
      </c>
      <c r="I218" s="109"/>
      <c r="J218" s="106">
        <f t="shared" si="217"/>
        <v>38181</v>
      </c>
      <c r="K218" s="110"/>
      <c r="L218" s="106">
        <f t="shared" si="218"/>
        <v>38181</v>
      </c>
      <c r="M218" s="109"/>
      <c r="N218" s="106">
        <f t="shared" si="219"/>
        <v>38181</v>
      </c>
      <c r="O218" s="106"/>
      <c r="P218" s="106">
        <f t="shared" si="219"/>
        <v>38181</v>
      </c>
      <c r="Q218" s="109"/>
      <c r="R218" s="106">
        <f t="shared" si="219"/>
        <v>38181</v>
      </c>
      <c r="S218" s="109"/>
      <c r="T218" s="106">
        <f t="shared" si="220"/>
        <v>38181</v>
      </c>
      <c r="U218" s="109"/>
      <c r="V218" s="106">
        <f t="shared" si="221"/>
        <v>38181</v>
      </c>
      <c r="W218" s="109"/>
      <c r="X218" s="106">
        <f t="shared" si="222"/>
        <v>38181</v>
      </c>
      <c r="Y218" s="109"/>
      <c r="Z218" s="106">
        <f t="shared" si="223"/>
        <v>38181</v>
      </c>
      <c r="AA218" s="109"/>
      <c r="AB218" s="106">
        <f t="shared" si="224"/>
        <v>38181</v>
      </c>
      <c r="AC218" s="172"/>
      <c r="AD218" s="106">
        <f t="shared" si="225"/>
        <v>38181</v>
      </c>
      <c r="AE218" s="172"/>
      <c r="AF218" s="106">
        <f t="shared" si="226"/>
        <v>38181</v>
      </c>
      <c r="AG218" s="198"/>
      <c r="AH218" s="106">
        <f t="shared" si="227"/>
        <v>38181</v>
      </c>
      <c r="AI218" s="172"/>
      <c r="AJ218" s="106">
        <f t="shared" si="228"/>
        <v>38181</v>
      </c>
      <c r="AK218" s="172"/>
      <c r="AL218" s="106">
        <f t="shared" si="229"/>
        <v>38181</v>
      </c>
      <c r="AM218" s="172"/>
      <c r="AN218" s="106">
        <f t="shared" si="230"/>
        <v>38181</v>
      </c>
      <c r="AO218" s="106">
        <v>36706</v>
      </c>
      <c r="AP218" s="113">
        <v>29400</v>
      </c>
      <c r="AQ218" s="243">
        <v>41442</v>
      </c>
      <c r="AR218" s="275"/>
      <c r="AS218" s="244">
        <f t="shared" si="231"/>
        <v>41442</v>
      </c>
      <c r="AT218" s="103"/>
      <c r="AU218" s="159">
        <f t="shared" si="190"/>
        <v>1.0571938775510203</v>
      </c>
      <c r="AV218" s="103"/>
    </row>
    <row r="219" spans="1:48" ht="25.5" hidden="1">
      <c r="A219" s="21"/>
      <c r="B219" s="27">
        <v>4740</v>
      </c>
      <c r="C219" s="18" t="s">
        <v>52</v>
      </c>
      <c r="D219" s="104">
        <v>1000</v>
      </c>
      <c r="E219" s="106"/>
      <c r="F219" s="106">
        <f t="shared" si="191"/>
        <v>1000</v>
      </c>
      <c r="G219" s="109"/>
      <c r="H219" s="106">
        <f t="shared" si="192"/>
        <v>1000</v>
      </c>
      <c r="I219" s="109"/>
      <c r="J219" s="106">
        <f t="shared" si="217"/>
        <v>1000</v>
      </c>
      <c r="K219" s="110"/>
      <c r="L219" s="106">
        <f t="shared" si="218"/>
        <v>1000</v>
      </c>
      <c r="M219" s="109"/>
      <c r="N219" s="106">
        <f t="shared" si="219"/>
        <v>1000</v>
      </c>
      <c r="O219" s="106"/>
      <c r="P219" s="106">
        <f t="shared" si="219"/>
        <v>1000</v>
      </c>
      <c r="Q219" s="109"/>
      <c r="R219" s="106">
        <f t="shared" si="219"/>
        <v>1000</v>
      </c>
      <c r="S219" s="109"/>
      <c r="T219" s="106">
        <f t="shared" si="220"/>
        <v>1000</v>
      </c>
      <c r="U219" s="109"/>
      <c r="V219" s="106">
        <f t="shared" si="221"/>
        <v>1000</v>
      </c>
      <c r="W219" s="109"/>
      <c r="X219" s="106">
        <f t="shared" si="222"/>
        <v>1000</v>
      </c>
      <c r="Y219" s="109"/>
      <c r="Z219" s="106">
        <f t="shared" si="223"/>
        <v>1000</v>
      </c>
      <c r="AA219" s="109"/>
      <c r="AB219" s="106">
        <f t="shared" si="224"/>
        <v>1000</v>
      </c>
      <c r="AC219" s="172"/>
      <c r="AD219" s="106">
        <f t="shared" si="225"/>
        <v>1000</v>
      </c>
      <c r="AE219" s="172"/>
      <c r="AF219" s="106">
        <f t="shared" si="226"/>
        <v>1000</v>
      </c>
      <c r="AG219" s="198"/>
      <c r="AH219" s="106">
        <f t="shared" si="227"/>
        <v>1000</v>
      </c>
      <c r="AI219" s="172"/>
      <c r="AJ219" s="106">
        <f t="shared" si="228"/>
        <v>1000</v>
      </c>
      <c r="AK219" s="172"/>
      <c r="AL219" s="106">
        <f t="shared" si="229"/>
        <v>1000</v>
      </c>
      <c r="AM219" s="172"/>
      <c r="AN219" s="106">
        <f t="shared" si="230"/>
        <v>1000</v>
      </c>
      <c r="AO219" s="106">
        <v>892</v>
      </c>
      <c r="AP219" s="113">
        <v>406</v>
      </c>
      <c r="AQ219" s="243">
        <v>1000</v>
      </c>
      <c r="AR219" s="275"/>
      <c r="AS219" s="244">
        <f t="shared" si="231"/>
        <v>1000</v>
      </c>
      <c r="AT219" s="103"/>
      <c r="AU219" s="159">
        <f t="shared" si="190"/>
        <v>1.8472906403940885</v>
      </c>
      <c r="AV219" s="103"/>
    </row>
    <row r="220" spans="1:48" ht="12.75" hidden="1">
      <c r="A220" s="21"/>
      <c r="B220" s="27">
        <v>4750</v>
      </c>
      <c r="C220" s="18" t="s">
        <v>53</v>
      </c>
      <c r="D220" s="104">
        <v>5000</v>
      </c>
      <c r="E220" s="106"/>
      <c r="F220" s="106">
        <f t="shared" si="191"/>
        <v>5000</v>
      </c>
      <c r="G220" s="109"/>
      <c r="H220" s="106">
        <f t="shared" si="192"/>
        <v>5000</v>
      </c>
      <c r="I220" s="109"/>
      <c r="J220" s="106">
        <f t="shared" si="217"/>
        <v>5000</v>
      </c>
      <c r="K220" s="110"/>
      <c r="L220" s="106">
        <f t="shared" si="218"/>
        <v>5000</v>
      </c>
      <c r="M220" s="109"/>
      <c r="N220" s="106">
        <f t="shared" si="219"/>
        <v>5000</v>
      </c>
      <c r="O220" s="106"/>
      <c r="P220" s="106">
        <f t="shared" si="219"/>
        <v>5000</v>
      </c>
      <c r="Q220" s="109"/>
      <c r="R220" s="106">
        <f t="shared" si="219"/>
        <v>5000</v>
      </c>
      <c r="S220" s="109"/>
      <c r="T220" s="106">
        <f t="shared" si="220"/>
        <v>5000</v>
      </c>
      <c r="U220" s="109"/>
      <c r="V220" s="106">
        <f t="shared" si="221"/>
        <v>5000</v>
      </c>
      <c r="W220" s="109"/>
      <c r="X220" s="106">
        <f t="shared" si="222"/>
        <v>5000</v>
      </c>
      <c r="Y220" s="109"/>
      <c r="Z220" s="106">
        <f t="shared" si="223"/>
        <v>5000</v>
      </c>
      <c r="AA220" s="109"/>
      <c r="AB220" s="106">
        <f t="shared" si="224"/>
        <v>5000</v>
      </c>
      <c r="AC220" s="172"/>
      <c r="AD220" s="106">
        <f t="shared" si="225"/>
        <v>5000</v>
      </c>
      <c r="AE220" s="172"/>
      <c r="AF220" s="106">
        <f t="shared" si="226"/>
        <v>5000</v>
      </c>
      <c r="AG220" s="198"/>
      <c r="AH220" s="106">
        <f t="shared" si="227"/>
        <v>5000</v>
      </c>
      <c r="AI220" s="172"/>
      <c r="AJ220" s="106">
        <f t="shared" si="228"/>
        <v>5000</v>
      </c>
      <c r="AK220" s="172"/>
      <c r="AL220" s="106">
        <f t="shared" si="229"/>
        <v>5000</v>
      </c>
      <c r="AM220" s="172"/>
      <c r="AN220" s="106">
        <f t="shared" si="230"/>
        <v>5000</v>
      </c>
      <c r="AO220" s="106">
        <v>690</v>
      </c>
      <c r="AP220" s="113">
        <v>774</v>
      </c>
      <c r="AQ220" s="243">
        <v>4000</v>
      </c>
      <c r="AR220" s="275"/>
      <c r="AS220" s="244">
        <f t="shared" si="231"/>
        <v>4000</v>
      </c>
      <c r="AT220" s="103"/>
      <c r="AU220" s="159">
        <f t="shared" si="190"/>
        <v>3.875968992248062</v>
      </c>
      <c r="AV220" s="103"/>
    </row>
    <row r="221" spans="1:48" ht="12.75" hidden="1">
      <c r="A221" s="21"/>
      <c r="B221" s="27">
        <v>6050</v>
      </c>
      <c r="C221" s="18" t="s">
        <v>26</v>
      </c>
      <c r="D221" s="104">
        <v>50000</v>
      </c>
      <c r="E221" s="106"/>
      <c r="F221" s="106">
        <f t="shared" si="191"/>
        <v>50000</v>
      </c>
      <c r="G221" s="109"/>
      <c r="H221" s="106">
        <f t="shared" si="192"/>
        <v>50000</v>
      </c>
      <c r="I221" s="109"/>
      <c r="J221" s="106">
        <f t="shared" si="217"/>
        <v>50000</v>
      </c>
      <c r="K221" s="110"/>
      <c r="L221" s="106">
        <f t="shared" si="218"/>
        <v>50000</v>
      </c>
      <c r="M221" s="109"/>
      <c r="N221" s="106">
        <f t="shared" si="219"/>
        <v>50000</v>
      </c>
      <c r="O221" s="106"/>
      <c r="P221" s="106">
        <f t="shared" si="219"/>
        <v>50000</v>
      </c>
      <c r="Q221" s="109"/>
      <c r="R221" s="106">
        <f t="shared" si="219"/>
        <v>50000</v>
      </c>
      <c r="S221" s="109"/>
      <c r="T221" s="106">
        <f t="shared" si="220"/>
        <v>50000</v>
      </c>
      <c r="U221" s="109"/>
      <c r="V221" s="106">
        <f t="shared" si="221"/>
        <v>50000</v>
      </c>
      <c r="W221" s="109"/>
      <c r="X221" s="106">
        <f t="shared" si="222"/>
        <v>50000</v>
      </c>
      <c r="Y221" s="109"/>
      <c r="Z221" s="106">
        <f t="shared" si="223"/>
        <v>50000</v>
      </c>
      <c r="AA221" s="109"/>
      <c r="AB221" s="106">
        <f t="shared" si="224"/>
        <v>50000</v>
      </c>
      <c r="AC221" s="172"/>
      <c r="AD221" s="106">
        <f t="shared" si="225"/>
        <v>50000</v>
      </c>
      <c r="AE221" s="172"/>
      <c r="AF221" s="106">
        <f t="shared" si="226"/>
        <v>50000</v>
      </c>
      <c r="AG221" s="198"/>
      <c r="AH221" s="106">
        <f t="shared" si="227"/>
        <v>50000</v>
      </c>
      <c r="AI221" s="172"/>
      <c r="AJ221" s="106">
        <f t="shared" si="228"/>
        <v>50000</v>
      </c>
      <c r="AK221" s="172">
        <v>15000</v>
      </c>
      <c r="AL221" s="106">
        <f t="shared" si="229"/>
        <v>65000</v>
      </c>
      <c r="AM221" s="172"/>
      <c r="AN221" s="106">
        <f t="shared" si="230"/>
        <v>65000</v>
      </c>
      <c r="AO221" s="106">
        <v>0</v>
      </c>
      <c r="AP221" s="113">
        <v>1830</v>
      </c>
      <c r="AQ221" s="243">
        <v>0</v>
      </c>
      <c r="AR221" s="275"/>
      <c r="AS221" s="244">
        <f t="shared" si="231"/>
        <v>0</v>
      </c>
      <c r="AT221" s="103"/>
      <c r="AU221" s="159">
        <f t="shared" si="190"/>
        <v>0</v>
      </c>
      <c r="AV221" s="103"/>
    </row>
    <row r="222" spans="1:48" ht="12.75" hidden="1">
      <c r="A222" s="21"/>
      <c r="B222" s="27">
        <v>6060</v>
      </c>
      <c r="C222" s="18" t="s">
        <v>61</v>
      </c>
      <c r="D222" s="104"/>
      <c r="E222" s="106"/>
      <c r="F222" s="106">
        <f t="shared" si="191"/>
        <v>0</v>
      </c>
      <c r="G222" s="109"/>
      <c r="H222" s="106">
        <f t="shared" si="192"/>
        <v>0</v>
      </c>
      <c r="I222" s="109"/>
      <c r="J222" s="106">
        <f t="shared" si="217"/>
        <v>0</v>
      </c>
      <c r="K222" s="110"/>
      <c r="L222" s="106">
        <f t="shared" si="218"/>
        <v>0</v>
      </c>
      <c r="M222" s="109"/>
      <c r="N222" s="106">
        <f t="shared" si="219"/>
        <v>0</v>
      </c>
      <c r="O222" s="106"/>
      <c r="P222" s="106">
        <f t="shared" si="219"/>
        <v>0</v>
      </c>
      <c r="Q222" s="109"/>
      <c r="R222" s="106">
        <f t="shared" si="219"/>
        <v>0</v>
      </c>
      <c r="S222" s="109"/>
      <c r="T222" s="106">
        <f t="shared" si="220"/>
        <v>0</v>
      </c>
      <c r="U222" s="109"/>
      <c r="V222" s="106">
        <f t="shared" si="221"/>
        <v>0</v>
      </c>
      <c r="W222" s="109"/>
      <c r="X222" s="106">
        <f t="shared" si="222"/>
        <v>0</v>
      </c>
      <c r="Y222" s="109"/>
      <c r="Z222" s="106">
        <f t="shared" si="223"/>
        <v>0</v>
      </c>
      <c r="AA222" s="109"/>
      <c r="AB222" s="106">
        <f t="shared" si="224"/>
        <v>0</v>
      </c>
      <c r="AC222" s="172"/>
      <c r="AD222" s="106">
        <f t="shared" si="225"/>
        <v>0</v>
      </c>
      <c r="AE222" s="172"/>
      <c r="AF222" s="106">
        <f t="shared" si="226"/>
        <v>0</v>
      </c>
      <c r="AG222" s="198"/>
      <c r="AH222" s="106">
        <f t="shared" si="227"/>
        <v>0</v>
      </c>
      <c r="AI222" s="172"/>
      <c r="AJ222" s="106">
        <f t="shared" si="228"/>
        <v>0</v>
      </c>
      <c r="AK222" s="172"/>
      <c r="AL222" s="106">
        <f t="shared" si="229"/>
        <v>0</v>
      </c>
      <c r="AM222" s="172"/>
      <c r="AN222" s="106">
        <f t="shared" si="230"/>
        <v>0</v>
      </c>
      <c r="AO222" s="106">
        <f>AN222+AM222</f>
        <v>0</v>
      </c>
      <c r="AP222" s="113">
        <f>AO222+AN222</f>
        <v>0</v>
      </c>
      <c r="AQ222" s="243">
        <f>AP222+AO222</f>
        <v>0</v>
      </c>
      <c r="AR222" s="275"/>
      <c r="AS222" s="244">
        <f t="shared" si="231"/>
        <v>0</v>
      </c>
      <c r="AT222" s="103"/>
      <c r="AU222" s="159" t="e">
        <f t="shared" si="190"/>
        <v>#DIV/0!</v>
      </c>
      <c r="AV222" s="103"/>
    </row>
    <row r="223" spans="1:48" ht="12.75" hidden="1">
      <c r="A223" s="31">
        <v>80110</v>
      </c>
      <c r="B223" s="26"/>
      <c r="C223" s="19" t="s">
        <v>80</v>
      </c>
      <c r="D223" s="190">
        <f aca="true" t="shared" si="232" ref="D223:J223">SUM(D224:D244)</f>
        <v>2872604</v>
      </c>
      <c r="E223" s="190">
        <f t="shared" si="232"/>
        <v>0</v>
      </c>
      <c r="F223" s="190">
        <f t="shared" si="232"/>
        <v>2872604</v>
      </c>
      <c r="G223" s="190">
        <f t="shared" si="232"/>
        <v>0</v>
      </c>
      <c r="H223" s="190">
        <f t="shared" si="232"/>
        <v>2872604</v>
      </c>
      <c r="I223" s="190">
        <f t="shared" si="232"/>
        <v>0</v>
      </c>
      <c r="J223" s="190">
        <f t="shared" si="232"/>
        <v>2872604</v>
      </c>
      <c r="K223" s="110"/>
      <c r="L223" s="190">
        <f>SUM(L224:L244)</f>
        <v>2872604</v>
      </c>
      <c r="M223" s="109"/>
      <c r="N223" s="190">
        <f>SUM(N224:N244)</f>
        <v>2872604</v>
      </c>
      <c r="O223" s="190"/>
      <c r="P223" s="190">
        <f>SUM(P224:P244)</f>
        <v>2872604</v>
      </c>
      <c r="Q223" s="109"/>
      <c r="R223" s="190">
        <f>SUM(R224:R244)</f>
        <v>2872604</v>
      </c>
      <c r="S223" s="109"/>
      <c r="T223" s="190">
        <f aca="true" t="shared" si="233" ref="T223:Z223">SUM(T224:T244)</f>
        <v>2872604</v>
      </c>
      <c r="U223" s="190">
        <f t="shared" si="233"/>
        <v>0</v>
      </c>
      <c r="V223" s="190">
        <f t="shared" si="233"/>
        <v>2872604</v>
      </c>
      <c r="W223" s="190">
        <f t="shared" si="233"/>
        <v>0</v>
      </c>
      <c r="X223" s="190">
        <f t="shared" si="233"/>
        <v>2872604</v>
      </c>
      <c r="Y223" s="190">
        <f t="shared" si="233"/>
        <v>0</v>
      </c>
      <c r="Z223" s="190">
        <f t="shared" si="233"/>
        <v>2872604</v>
      </c>
      <c r="AA223" s="190">
        <f aca="true" t="shared" si="234" ref="AA223:AF223">SUM(AA224:AA244)</f>
        <v>0</v>
      </c>
      <c r="AB223" s="190">
        <f t="shared" si="234"/>
        <v>2872604</v>
      </c>
      <c r="AC223" s="190">
        <f t="shared" si="234"/>
        <v>0</v>
      </c>
      <c r="AD223" s="190">
        <f t="shared" si="234"/>
        <v>2872604</v>
      </c>
      <c r="AE223" s="190">
        <f t="shared" si="234"/>
        <v>0</v>
      </c>
      <c r="AF223" s="190">
        <f t="shared" si="234"/>
        <v>2872604</v>
      </c>
      <c r="AG223" s="191">
        <f aca="true" t="shared" si="235" ref="AG223:AL223">SUM(AG224:AG244)</f>
        <v>0</v>
      </c>
      <c r="AH223" s="190">
        <f t="shared" si="235"/>
        <v>2872604</v>
      </c>
      <c r="AI223" s="190">
        <f t="shared" si="235"/>
        <v>0</v>
      </c>
      <c r="AJ223" s="190">
        <f t="shared" si="235"/>
        <v>2872604</v>
      </c>
      <c r="AK223" s="190">
        <f t="shared" si="235"/>
        <v>-600</v>
      </c>
      <c r="AL223" s="190">
        <f t="shared" si="235"/>
        <v>2872004</v>
      </c>
      <c r="AM223" s="190">
        <f>SUM(AM224:AM244)</f>
        <v>0</v>
      </c>
      <c r="AN223" s="190">
        <f>SUM(AN224:AN244)</f>
        <v>2872004</v>
      </c>
      <c r="AO223" s="190">
        <f>SUM(AO224:AO244)</f>
        <v>2683297</v>
      </c>
      <c r="AP223" s="81">
        <f>SUM(AP224:AP244)</f>
        <v>1837832</v>
      </c>
      <c r="AQ223" s="247">
        <f>SUM(AQ224:AQ244)</f>
        <v>2978588</v>
      </c>
      <c r="AR223" s="274"/>
      <c r="AS223" s="244">
        <f t="shared" si="231"/>
        <v>2978588</v>
      </c>
      <c r="AT223" s="103"/>
      <c r="AU223" s="159">
        <f t="shared" si="190"/>
        <v>1.2155305816853772</v>
      </c>
      <c r="AV223" s="103"/>
    </row>
    <row r="224" spans="1:48" ht="12.75" hidden="1">
      <c r="A224" s="21"/>
      <c r="B224" s="27">
        <v>3020</v>
      </c>
      <c r="C224" s="18" t="s">
        <v>73</v>
      </c>
      <c r="D224" s="104">
        <v>173741</v>
      </c>
      <c r="E224" s="106"/>
      <c r="F224" s="106">
        <f t="shared" si="191"/>
        <v>173741</v>
      </c>
      <c r="G224" s="109"/>
      <c r="H224" s="106">
        <f t="shared" si="192"/>
        <v>173741</v>
      </c>
      <c r="I224" s="109"/>
      <c r="J224" s="106">
        <f aca="true" t="shared" si="236" ref="J224:J244">I224+H224</f>
        <v>173741</v>
      </c>
      <c r="K224" s="110"/>
      <c r="L224" s="106">
        <f aca="true" t="shared" si="237" ref="L224:L244">K224+H224</f>
        <v>173741</v>
      </c>
      <c r="M224" s="109"/>
      <c r="N224" s="106">
        <f aca="true" t="shared" si="238" ref="N224:R244">M224+L224</f>
        <v>173741</v>
      </c>
      <c r="O224" s="106"/>
      <c r="P224" s="106">
        <f t="shared" si="238"/>
        <v>173741</v>
      </c>
      <c r="Q224" s="109"/>
      <c r="R224" s="106">
        <f t="shared" si="238"/>
        <v>173741</v>
      </c>
      <c r="S224" s="109"/>
      <c r="T224" s="106">
        <f aca="true" t="shared" si="239" ref="T224:T244">S224+R224</f>
        <v>173741</v>
      </c>
      <c r="U224" s="202">
        <v>0</v>
      </c>
      <c r="V224" s="106">
        <f aca="true" t="shared" si="240" ref="V224:V244">U224+T224</f>
        <v>173741</v>
      </c>
      <c r="W224" s="202">
        <v>0</v>
      </c>
      <c r="X224" s="106">
        <f aca="true" t="shared" si="241" ref="X224:X244">W224+V224</f>
        <v>173741</v>
      </c>
      <c r="Y224" s="202">
        <v>0</v>
      </c>
      <c r="Z224" s="106">
        <f aca="true" t="shared" si="242" ref="Z224:Z244">Y224+X224</f>
        <v>173741</v>
      </c>
      <c r="AA224" s="202">
        <v>0</v>
      </c>
      <c r="AB224" s="106">
        <f aca="true" t="shared" si="243" ref="AB224:AB244">AA224+Z224</f>
        <v>173741</v>
      </c>
      <c r="AC224" s="172">
        <v>0</v>
      </c>
      <c r="AD224" s="106">
        <f aca="true" t="shared" si="244" ref="AD224:AD244">AC224+AB224</f>
        <v>173741</v>
      </c>
      <c r="AE224" s="172">
        <v>0</v>
      </c>
      <c r="AF224" s="106">
        <f aca="true" t="shared" si="245" ref="AF224:AF244">AE224+AD224</f>
        <v>173741</v>
      </c>
      <c r="AG224" s="198">
        <v>0</v>
      </c>
      <c r="AH224" s="106">
        <f aca="true" t="shared" si="246" ref="AH224:AH244">AG224+AF224</f>
        <v>173741</v>
      </c>
      <c r="AI224" s="172">
        <v>0</v>
      </c>
      <c r="AJ224" s="106">
        <f aca="true" t="shared" si="247" ref="AJ224:AJ244">AI224+AH224</f>
        <v>173741</v>
      </c>
      <c r="AK224" s="172">
        <v>0</v>
      </c>
      <c r="AL224" s="106">
        <f aca="true" t="shared" si="248" ref="AL224:AL244">AK224+AJ224</f>
        <v>173741</v>
      </c>
      <c r="AM224" s="172">
        <v>0</v>
      </c>
      <c r="AN224" s="106">
        <v>193741</v>
      </c>
      <c r="AO224" s="106">
        <v>159273</v>
      </c>
      <c r="AP224" s="113">
        <v>131393</v>
      </c>
      <c r="AQ224" s="243">
        <f>257401-50000</f>
        <v>207401</v>
      </c>
      <c r="AR224" s="275"/>
      <c r="AS224" s="244">
        <f t="shared" si="231"/>
        <v>207401</v>
      </c>
      <c r="AT224" s="103"/>
      <c r="AU224" s="159">
        <f t="shared" si="190"/>
        <v>1.1838587291560434</v>
      </c>
      <c r="AV224" s="103"/>
    </row>
    <row r="225" spans="1:48" ht="12.75" hidden="1">
      <c r="A225" s="21"/>
      <c r="B225" s="27">
        <v>4010</v>
      </c>
      <c r="C225" s="18" t="s">
        <v>37</v>
      </c>
      <c r="D225" s="104">
        <v>1800857</v>
      </c>
      <c r="E225" s="106"/>
      <c r="F225" s="106">
        <f t="shared" si="191"/>
        <v>1800857</v>
      </c>
      <c r="G225" s="109"/>
      <c r="H225" s="106">
        <f t="shared" si="192"/>
        <v>1800857</v>
      </c>
      <c r="I225" s="109"/>
      <c r="J225" s="106">
        <f t="shared" si="236"/>
        <v>1800857</v>
      </c>
      <c r="K225" s="110"/>
      <c r="L225" s="106">
        <f t="shared" si="237"/>
        <v>1800857</v>
      </c>
      <c r="M225" s="109"/>
      <c r="N225" s="106">
        <f t="shared" si="238"/>
        <v>1800857</v>
      </c>
      <c r="O225" s="106"/>
      <c r="P225" s="106">
        <f t="shared" si="238"/>
        <v>1800857</v>
      </c>
      <c r="Q225" s="109"/>
      <c r="R225" s="106">
        <f t="shared" si="238"/>
        <v>1800857</v>
      </c>
      <c r="S225" s="109"/>
      <c r="T225" s="106">
        <f t="shared" si="239"/>
        <v>1800857</v>
      </c>
      <c r="U225" s="109"/>
      <c r="V225" s="106">
        <f t="shared" si="240"/>
        <v>1800857</v>
      </c>
      <c r="W225" s="109"/>
      <c r="X225" s="106">
        <f t="shared" si="241"/>
        <v>1800857</v>
      </c>
      <c r="Y225" s="109"/>
      <c r="Z225" s="106">
        <f t="shared" si="242"/>
        <v>1800857</v>
      </c>
      <c r="AA225" s="109"/>
      <c r="AB225" s="106">
        <f t="shared" si="243"/>
        <v>1800857</v>
      </c>
      <c r="AC225" s="172"/>
      <c r="AD225" s="106">
        <f t="shared" si="244"/>
        <v>1800857</v>
      </c>
      <c r="AE225" s="172"/>
      <c r="AF225" s="106">
        <f t="shared" si="245"/>
        <v>1800857</v>
      </c>
      <c r="AG225" s="198"/>
      <c r="AH225" s="106">
        <f t="shared" si="246"/>
        <v>1800857</v>
      </c>
      <c r="AI225" s="172"/>
      <c r="AJ225" s="106">
        <f t="shared" si="247"/>
        <v>1800857</v>
      </c>
      <c r="AK225" s="172"/>
      <c r="AL225" s="106">
        <f t="shared" si="248"/>
        <v>1800857</v>
      </c>
      <c r="AM225" s="172"/>
      <c r="AN225" s="106">
        <f aca="true" t="shared" si="249" ref="AN225:AN244">AM225+AL225</f>
        <v>1800857</v>
      </c>
      <c r="AO225" s="106">
        <v>1672720</v>
      </c>
      <c r="AP225" s="113">
        <v>1112036</v>
      </c>
      <c r="AQ225" s="243">
        <v>1818866</v>
      </c>
      <c r="AR225" s="275"/>
      <c r="AS225" s="244">
        <f t="shared" si="231"/>
        <v>1818866</v>
      </c>
      <c r="AT225" s="103"/>
      <c r="AU225" s="159">
        <f t="shared" si="190"/>
        <v>1.2267134337377565</v>
      </c>
      <c r="AV225" s="103">
        <f>AN225*101%</f>
        <v>1818865.57</v>
      </c>
    </row>
    <row r="226" spans="1:48" ht="12.75" hidden="1">
      <c r="A226" s="21"/>
      <c r="B226" s="27">
        <v>4040</v>
      </c>
      <c r="C226" s="18" t="s">
        <v>38</v>
      </c>
      <c r="D226" s="104">
        <v>134000</v>
      </c>
      <c r="E226" s="106"/>
      <c r="F226" s="106">
        <f t="shared" si="191"/>
        <v>134000</v>
      </c>
      <c r="G226" s="109"/>
      <c r="H226" s="106">
        <f t="shared" si="192"/>
        <v>134000</v>
      </c>
      <c r="I226" s="109"/>
      <c r="J226" s="106">
        <f t="shared" si="236"/>
        <v>134000</v>
      </c>
      <c r="K226" s="110"/>
      <c r="L226" s="106">
        <f t="shared" si="237"/>
        <v>134000</v>
      </c>
      <c r="M226" s="109"/>
      <c r="N226" s="106">
        <f t="shared" si="238"/>
        <v>134000</v>
      </c>
      <c r="O226" s="106"/>
      <c r="P226" s="106">
        <f t="shared" si="238"/>
        <v>134000</v>
      </c>
      <c r="Q226" s="109"/>
      <c r="R226" s="106">
        <f t="shared" si="238"/>
        <v>134000</v>
      </c>
      <c r="S226" s="109"/>
      <c r="T226" s="106">
        <f t="shared" si="239"/>
        <v>134000</v>
      </c>
      <c r="U226" s="109">
        <v>0</v>
      </c>
      <c r="V226" s="106">
        <f t="shared" si="240"/>
        <v>134000</v>
      </c>
      <c r="W226" s="109">
        <v>0</v>
      </c>
      <c r="X226" s="106">
        <f t="shared" si="241"/>
        <v>134000</v>
      </c>
      <c r="Y226" s="109">
        <v>0</v>
      </c>
      <c r="Z226" s="106">
        <f t="shared" si="242"/>
        <v>134000</v>
      </c>
      <c r="AA226" s="109">
        <v>0</v>
      </c>
      <c r="AB226" s="106">
        <f t="shared" si="243"/>
        <v>134000</v>
      </c>
      <c r="AC226" s="172">
        <v>0</v>
      </c>
      <c r="AD226" s="106">
        <f t="shared" si="244"/>
        <v>134000</v>
      </c>
      <c r="AE226" s="172">
        <v>280</v>
      </c>
      <c r="AF226" s="106">
        <f t="shared" si="245"/>
        <v>134280</v>
      </c>
      <c r="AG226" s="198"/>
      <c r="AH226" s="106">
        <f t="shared" si="246"/>
        <v>134280</v>
      </c>
      <c r="AI226" s="172"/>
      <c r="AJ226" s="106">
        <f t="shared" si="247"/>
        <v>134280</v>
      </c>
      <c r="AK226" s="172"/>
      <c r="AL226" s="106">
        <f t="shared" si="248"/>
        <v>134280</v>
      </c>
      <c r="AM226" s="172"/>
      <c r="AN226" s="106">
        <f t="shared" si="249"/>
        <v>134280</v>
      </c>
      <c r="AO226" s="106">
        <v>123726</v>
      </c>
      <c r="AP226" s="113">
        <v>134277</v>
      </c>
      <c r="AQ226" s="243">
        <f>166000-11000</f>
        <v>155000</v>
      </c>
      <c r="AR226" s="275"/>
      <c r="AS226" s="244">
        <f t="shared" si="231"/>
        <v>155000</v>
      </c>
      <c r="AT226" s="103"/>
      <c r="AU226" s="159">
        <f aca="true" t="shared" si="250" ref="AU226:AU289">AQ226/(AP226/3*4)</f>
        <v>0.8657476708594919</v>
      </c>
      <c r="AV226" s="103"/>
    </row>
    <row r="227" spans="1:48" ht="12.75" hidden="1">
      <c r="A227" s="21"/>
      <c r="B227" s="27">
        <v>4110</v>
      </c>
      <c r="C227" s="18" t="s">
        <v>39</v>
      </c>
      <c r="D227" s="104">
        <v>302468</v>
      </c>
      <c r="E227" s="106"/>
      <c r="F227" s="106">
        <f t="shared" si="191"/>
        <v>302468</v>
      </c>
      <c r="G227" s="109"/>
      <c r="H227" s="106">
        <f t="shared" si="192"/>
        <v>302468</v>
      </c>
      <c r="I227" s="109"/>
      <c r="J227" s="106">
        <f t="shared" si="236"/>
        <v>302468</v>
      </c>
      <c r="K227" s="110"/>
      <c r="L227" s="106">
        <f t="shared" si="237"/>
        <v>302468</v>
      </c>
      <c r="M227" s="109"/>
      <c r="N227" s="106">
        <f t="shared" si="238"/>
        <v>302468</v>
      </c>
      <c r="O227" s="106"/>
      <c r="P227" s="106">
        <f t="shared" si="238"/>
        <v>302468</v>
      </c>
      <c r="Q227" s="109"/>
      <c r="R227" s="106">
        <f t="shared" si="238"/>
        <v>302468</v>
      </c>
      <c r="S227" s="109"/>
      <c r="T227" s="106">
        <f t="shared" si="239"/>
        <v>302468</v>
      </c>
      <c r="U227" s="202">
        <v>0</v>
      </c>
      <c r="V227" s="106">
        <f t="shared" si="240"/>
        <v>302468</v>
      </c>
      <c r="W227" s="202">
        <v>0</v>
      </c>
      <c r="X227" s="106">
        <f t="shared" si="241"/>
        <v>302468</v>
      </c>
      <c r="Y227" s="202">
        <v>0</v>
      </c>
      <c r="Z227" s="106">
        <f t="shared" si="242"/>
        <v>302468</v>
      </c>
      <c r="AA227" s="202">
        <v>0</v>
      </c>
      <c r="AB227" s="106">
        <f t="shared" si="243"/>
        <v>302468</v>
      </c>
      <c r="AC227" s="172">
        <v>0</v>
      </c>
      <c r="AD227" s="106">
        <f t="shared" si="244"/>
        <v>302468</v>
      </c>
      <c r="AE227" s="172">
        <v>0</v>
      </c>
      <c r="AF227" s="106">
        <f t="shared" si="245"/>
        <v>302468</v>
      </c>
      <c r="AG227" s="198"/>
      <c r="AH227" s="106">
        <f t="shared" si="246"/>
        <v>302468</v>
      </c>
      <c r="AI227" s="172"/>
      <c r="AJ227" s="106">
        <f t="shared" si="247"/>
        <v>302468</v>
      </c>
      <c r="AK227" s="172"/>
      <c r="AL227" s="106">
        <f t="shared" si="248"/>
        <v>302468</v>
      </c>
      <c r="AM227" s="172"/>
      <c r="AN227" s="106">
        <f t="shared" si="249"/>
        <v>302468</v>
      </c>
      <c r="AO227" s="106">
        <v>288976</v>
      </c>
      <c r="AP227" s="113">
        <v>190732</v>
      </c>
      <c r="AQ227" s="243">
        <f>368121-20000</f>
        <v>348121</v>
      </c>
      <c r="AR227" s="275"/>
      <c r="AS227" s="244">
        <f t="shared" si="231"/>
        <v>348121</v>
      </c>
      <c r="AT227" s="103"/>
      <c r="AU227" s="159">
        <f t="shared" si="250"/>
        <v>1.3688880208879475</v>
      </c>
      <c r="AV227" s="103"/>
    </row>
    <row r="228" spans="1:48" ht="12.75" hidden="1">
      <c r="A228" s="21"/>
      <c r="B228" s="27">
        <v>4120</v>
      </c>
      <c r="C228" s="18" t="s">
        <v>40</v>
      </c>
      <c r="D228" s="104">
        <v>49879</v>
      </c>
      <c r="E228" s="106"/>
      <c r="F228" s="106">
        <f t="shared" si="191"/>
        <v>49879</v>
      </c>
      <c r="G228" s="109"/>
      <c r="H228" s="106">
        <f t="shared" si="192"/>
        <v>49879</v>
      </c>
      <c r="I228" s="109"/>
      <c r="J228" s="106">
        <f t="shared" si="236"/>
        <v>49879</v>
      </c>
      <c r="K228" s="110"/>
      <c r="L228" s="106">
        <f t="shared" si="237"/>
        <v>49879</v>
      </c>
      <c r="M228" s="109"/>
      <c r="N228" s="106">
        <f t="shared" si="238"/>
        <v>49879</v>
      </c>
      <c r="O228" s="106"/>
      <c r="P228" s="106">
        <f t="shared" si="238"/>
        <v>49879</v>
      </c>
      <c r="Q228" s="109"/>
      <c r="R228" s="106">
        <f t="shared" si="238"/>
        <v>49879</v>
      </c>
      <c r="S228" s="109"/>
      <c r="T228" s="106">
        <f t="shared" si="239"/>
        <v>49879</v>
      </c>
      <c r="U228" s="109"/>
      <c r="V228" s="106">
        <f t="shared" si="240"/>
        <v>49879</v>
      </c>
      <c r="W228" s="109"/>
      <c r="X228" s="106">
        <f t="shared" si="241"/>
        <v>49879</v>
      </c>
      <c r="Y228" s="109"/>
      <c r="Z228" s="106">
        <f t="shared" si="242"/>
        <v>49879</v>
      </c>
      <c r="AA228" s="109"/>
      <c r="AB228" s="106">
        <f t="shared" si="243"/>
        <v>49879</v>
      </c>
      <c r="AC228" s="172"/>
      <c r="AD228" s="106">
        <f t="shared" si="244"/>
        <v>49879</v>
      </c>
      <c r="AE228" s="172"/>
      <c r="AF228" s="106">
        <f t="shared" si="245"/>
        <v>49879</v>
      </c>
      <c r="AG228" s="198"/>
      <c r="AH228" s="106">
        <f t="shared" si="246"/>
        <v>49879</v>
      </c>
      <c r="AI228" s="172"/>
      <c r="AJ228" s="106">
        <f t="shared" si="247"/>
        <v>49879</v>
      </c>
      <c r="AK228" s="172"/>
      <c r="AL228" s="106">
        <f t="shared" si="248"/>
        <v>49879</v>
      </c>
      <c r="AM228" s="172"/>
      <c r="AN228" s="106">
        <f t="shared" si="249"/>
        <v>49879</v>
      </c>
      <c r="AO228" s="106">
        <v>46075</v>
      </c>
      <c r="AP228" s="113">
        <v>30080</v>
      </c>
      <c r="AQ228" s="243">
        <f>60623-5000</f>
        <v>55623</v>
      </c>
      <c r="AR228" s="275"/>
      <c r="AS228" s="244">
        <f t="shared" si="231"/>
        <v>55623</v>
      </c>
      <c r="AT228" s="103"/>
      <c r="AU228" s="159">
        <f t="shared" si="250"/>
        <v>1.3868766622340427</v>
      </c>
      <c r="AV228" s="103"/>
    </row>
    <row r="229" spans="1:48" ht="12.75" hidden="1">
      <c r="A229" s="21"/>
      <c r="B229" s="27">
        <v>4170</v>
      </c>
      <c r="C229" s="18" t="s">
        <v>42</v>
      </c>
      <c r="D229" s="104">
        <v>1648</v>
      </c>
      <c r="E229" s="106"/>
      <c r="F229" s="106">
        <f aca="true" t="shared" si="251" ref="F229:F295">D229+E229</f>
        <v>1648</v>
      </c>
      <c r="G229" s="109"/>
      <c r="H229" s="106">
        <f aca="true" t="shared" si="252" ref="H229:H295">G229+F229</f>
        <v>1648</v>
      </c>
      <c r="I229" s="109"/>
      <c r="J229" s="106">
        <f t="shared" si="236"/>
        <v>1648</v>
      </c>
      <c r="K229" s="110"/>
      <c r="L229" s="106">
        <f t="shared" si="237"/>
        <v>1648</v>
      </c>
      <c r="M229" s="109"/>
      <c r="N229" s="106">
        <f t="shared" si="238"/>
        <v>1648</v>
      </c>
      <c r="O229" s="106"/>
      <c r="P229" s="106">
        <f t="shared" si="238"/>
        <v>1648</v>
      </c>
      <c r="Q229" s="109"/>
      <c r="R229" s="106">
        <f t="shared" si="238"/>
        <v>1648</v>
      </c>
      <c r="S229" s="109"/>
      <c r="T229" s="106">
        <f t="shared" si="239"/>
        <v>1648</v>
      </c>
      <c r="U229" s="109"/>
      <c r="V229" s="106">
        <f t="shared" si="240"/>
        <v>1648</v>
      </c>
      <c r="W229" s="109"/>
      <c r="X229" s="106">
        <f t="shared" si="241"/>
        <v>1648</v>
      </c>
      <c r="Y229" s="109"/>
      <c r="Z229" s="106">
        <f t="shared" si="242"/>
        <v>1648</v>
      </c>
      <c r="AA229" s="109"/>
      <c r="AB229" s="106">
        <f t="shared" si="243"/>
        <v>1648</v>
      </c>
      <c r="AC229" s="172"/>
      <c r="AD229" s="106">
        <f t="shared" si="244"/>
        <v>1648</v>
      </c>
      <c r="AE229" s="172"/>
      <c r="AF229" s="106">
        <f t="shared" si="245"/>
        <v>1648</v>
      </c>
      <c r="AG229" s="198"/>
      <c r="AH229" s="106">
        <f t="shared" si="246"/>
        <v>1648</v>
      </c>
      <c r="AI229" s="172"/>
      <c r="AJ229" s="106">
        <f t="shared" si="247"/>
        <v>1648</v>
      </c>
      <c r="AK229" s="172"/>
      <c r="AL229" s="106">
        <f t="shared" si="248"/>
        <v>1648</v>
      </c>
      <c r="AM229" s="172"/>
      <c r="AN229" s="106">
        <f t="shared" si="249"/>
        <v>1648</v>
      </c>
      <c r="AO229" s="106">
        <v>0</v>
      </c>
      <c r="AP229" s="113">
        <v>175</v>
      </c>
      <c r="AQ229" s="243">
        <v>1500</v>
      </c>
      <c r="AR229" s="275"/>
      <c r="AS229" s="244">
        <f t="shared" si="231"/>
        <v>1500</v>
      </c>
      <c r="AT229" s="103"/>
      <c r="AU229" s="159">
        <f t="shared" si="250"/>
        <v>6.428571428571428</v>
      </c>
      <c r="AV229" s="103"/>
    </row>
    <row r="230" spans="1:48" ht="12.75" hidden="1">
      <c r="A230" s="21"/>
      <c r="B230" s="27">
        <v>4210</v>
      </c>
      <c r="C230" s="18" t="s">
        <v>14</v>
      </c>
      <c r="D230" s="104">
        <v>200500</v>
      </c>
      <c r="E230" s="106"/>
      <c r="F230" s="106">
        <f t="shared" si="251"/>
        <v>200500</v>
      </c>
      <c r="G230" s="109"/>
      <c r="H230" s="106">
        <f t="shared" si="252"/>
        <v>200500</v>
      </c>
      <c r="I230" s="109"/>
      <c r="J230" s="106">
        <f t="shared" si="236"/>
        <v>200500</v>
      </c>
      <c r="K230" s="110"/>
      <c r="L230" s="106">
        <f t="shared" si="237"/>
        <v>200500</v>
      </c>
      <c r="M230" s="109"/>
      <c r="N230" s="106">
        <f t="shared" si="238"/>
        <v>200500</v>
      </c>
      <c r="O230" s="106"/>
      <c r="P230" s="106">
        <f t="shared" si="238"/>
        <v>200500</v>
      </c>
      <c r="Q230" s="109"/>
      <c r="R230" s="106">
        <f t="shared" si="238"/>
        <v>200500</v>
      </c>
      <c r="S230" s="109"/>
      <c r="T230" s="106">
        <f t="shared" si="239"/>
        <v>200500</v>
      </c>
      <c r="U230" s="109"/>
      <c r="V230" s="106">
        <f t="shared" si="240"/>
        <v>200500</v>
      </c>
      <c r="W230" s="109"/>
      <c r="X230" s="106">
        <f t="shared" si="241"/>
        <v>200500</v>
      </c>
      <c r="Y230" s="109"/>
      <c r="Z230" s="106">
        <f t="shared" si="242"/>
        <v>200500</v>
      </c>
      <c r="AA230" s="109"/>
      <c r="AB230" s="106">
        <f t="shared" si="243"/>
        <v>200500</v>
      </c>
      <c r="AC230" s="172"/>
      <c r="AD230" s="106">
        <f t="shared" si="244"/>
        <v>200500</v>
      </c>
      <c r="AE230" s="172">
        <v>-280</v>
      </c>
      <c r="AF230" s="106">
        <f t="shared" si="245"/>
        <v>200220</v>
      </c>
      <c r="AG230" s="198"/>
      <c r="AH230" s="106">
        <f t="shared" si="246"/>
        <v>200220</v>
      </c>
      <c r="AI230" s="172"/>
      <c r="AJ230" s="106">
        <f t="shared" si="247"/>
        <v>200220</v>
      </c>
      <c r="AK230" s="172">
        <f>-9600-3000</f>
        <v>-12600</v>
      </c>
      <c r="AL230" s="106">
        <f t="shared" si="248"/>
        <v>187620</v>
      </c>
      <c r="AM230" s="172"/>
      <c r="AN230" s="106">
        <v>165620</v>
      </c>
      <c r="AO230" s="106">
        <v>191711</v>
      </c>
      <c r="AP230" s="113">
        <v>98218</v>
      </c>
      <c r="AQ230" s="243">
        <v>170000</v>
      </c>
      <c r="AR230" s="275"/>
      <c r="AS230" s="244">
        <f t="shared" si="231"/>
        <v>170000</v>
      </c>
      <c r="AT230" s="103"/>
      <c r="AU230" s="159">
        <f t="shared" si="250"/>
        <v>1.298132725162394</v>
      </c>
      <c r="AV230" s="103"/>
    </row>
    <row r="231" spans="1:48" ht="12.75" hidden="1">
      <c r="A231" s="21"/>
      <c r="B231" s="27">
        <v>4240</v>
      </c>
      <c r="C231" s="18" t="s">
        <v>76</v>
      </c>
      <c r="D231" s="104">
        <v>10000</v>
      </c>
      <c r="E231" s="106"/>
      <c r="F231" s="106">
        <f t="shared" si="251"/>
        <v>10000</v>
      </c>
      <c r="G231" s="109"/>
      <c r="H231" s="106">
        <f t="shared" si="252"/>
        <v>10000</v>
      </c>
      <c r="I231" s="109"/>
      <c r="J231" s="106">
        <f t="shared" si="236"/>
        <v>10000</v>
      </c>
      <c r="K231" s="110"/>
      <c r="L231" s="106">
        <f t="shared" si="237"/>
        <v>10000</v>
      </c>
      <c r="M231" s="109"/>
      <c r="N231" s="106">
        <f t="shared" si="238"/>
        <v>10000</v>
      </c>
      <c r="O231" s="106"/>
      <c r="P231" s="106">
        <f t="shared" si="238"/>
        <v>10000</v>
      </c>
      <c r="Q231" s="109"/>
      <c r="R231" s="106">
        <f t="shared" si="238"/>
        <v>10000</v>
      </c>
      <c r="S231" s="109"/>
      <c r="T231" s="106">
        <f t="shared" si="239"/>
        <v>10000</v>
      </c>
      <c r="U231" s="109"/>
      <c r="V231" s="106">
        <f t="shared" si="240"/>
        <v>10000</v>
      </c>
      <c r="W231" s="109"/>
      <c r="X231" s="106">
        <f t="shared" si="241"/>
        <v>10000</v>
      </c>
      <c r="Y231" s="109"/>
      <c r="Z231" s="106">
        <f t="shared" si="242"/>
        <v>10000</v>
      </c>
      <c r="AA231" s="109"/>
      <c r="AB231" s="106">
        <f t="shared" si="243"/>
        <v>10000</v>
      </c>
      <c r="AC231" s="172"/>
      <c r="AD231" s="106">
        <f t="shared" si="244"/>
        <v>10000</v>
      </c>
      <c r="AE231" s="172"/>
      <c r="AF231" s="106">
        <f t="shared" si="245"/>
        <v>10000</v>
      </c>
      <c r="AG231" s="198"/>
      <c r="AH231" s="106">
        <f t="shared" si="246"/>
        <v>10000</v>
      </c>
      <c r="AI231" s="172"/>
      <c r="AJ231" s="106">
        <f t="shared" si="247"/>
        <v>10000</v>
      </c>
      <c r="AK231" s="172"/>
      <c r="AL231" s="106">
        <f t="shared" si="248"/>
        <v>10000</v>
      </c>
      <c r="AM231" s="172"/>
      <c r="AN231" s="106">
        <f t="shared" si="249"/>
        <v>10000</v>
      </c>
      <c r="AO231" s="106">
        <v>5125</v>
      </c>
      <c r="AP231" s="113">
        <v>100</v>
      </c>
      <c r="AQ231" s="243">
        <v>10000</v>
      </c>
      <c r="AR231" s="275"/>
      <c r="AS231" s="244">
        <f t="shared" si="231"/>
        <v>10000</v>
      </c>
      <c r="AT231" s="103"/>
      <c r="AU231" s="159">
        <f t="shared" si="250"/>
        <v>75</v>
      </c>
      <c r="AV231" s="103"/>
    </row>
    <row r="232" spans="1:48" ht="12.75" hidden="1">
      <c r="A232" s="21"/>
      <c r="B232" s="27">
        <v>4260</v>
      </c>
      <c r="C232" s="18" t="s">
        <v>43</v>
      </c>
      <c r="D232" s="104">
        <v>28000</v>
      </c>
      <c r="E232" s="106"/>
      <c r="F232" s="106">
        <f t="shared" si="251"/>
        <v>28000</v>
      </c>
      <c r="G232" s="109"/>
      <c r="H232" s="106">
        <f t="shared" si="252"/>
        <v>28000</v>
      </c>
      <c r="I232" s="109"/>
      <c r="J232" s="106">
        <f t="shared" si="236"/>
        <v>28000</v>
      </c>
      <c r="K232" s="110"/>
      <c r="L232" s="106">
        <f t="shared" si="237"/>
        <v>28000</v>
      </c>
      <c r="M232" s="109"/>
      <c r="N232" s="106">
        <f t="shared" si="238"/>
        <v>28000</v>
      </c>
      <c r="O232" s="106"/>
      <c r="P232" s="106">
        <f t="shared" si="238"/>
        <v>28000</v>
      </c>
      <c r="Q232" s="109"/>
      <c r="R232" s="106">
        <f t="shared" si="238"/>
        <v>28000</v>
      </c>
      <c r="S232" s="109"/>
      <c r="T232" s="106">
        <f t="shared" si="239"/>
        <v>28000</v>
      </c>
      <c r="U232" s="109"/>
      <c r="V232" s="106">
        <f t="shared" si="240"/>
        <v>28000</v>
      </c>
      <c r="W232" s="109"/>
      <c r="X232" s="106">
        <f t="shared" si="241"/>
        <v>28000</v>
      </c>
      <c r="Y232" s="109"/>
      <c r="Z232" s="106">
        <f t="shared" si="242"/>
        <v>28000</v>
      </c>
      <c r="AA232" s="109"/>
      <c r="AB232" s="106">
        <f t="shared" si="243"/>
        <v>28000</v>
      </c>
      <c r="AC232" s="172"/>
      <c r="AD232" s="106">
        <f t="shared" si="244"/>
        <v>28000</v>
      </c>
      <c r="AE232" s="172"/>
      <c r="AF232" s="106">
        <f t="shared" si="245"/>
        <v>28000</v>
      </c>
      <c r="AG232" s="198"/>
      <c r="AH232" s="106">
        <f t="shared" si="246"/>
        <v>28000</v>
      </c>
      <c r="AI232" s="172"/>
      <c r="AJ232" s="106">
        <f t="shared" si="247"/>
        <v>28000</v>
      </c>
      <c r="AK232" s="172">
        <v>4000</v>
      </c>
      <c r="AL232" s="106">
        <f t="shared" si="248"/>
        <v>32000</v>
      </c>
      <c r="AM232" s="172"/>
      <c r="AN232" s="106">
        <f t="shared" si="249"/>
        <v>32000</v>
      </c>
      <c r="AO232" s="106">
        <v>30201</v>
      </c>
      <c r="AP232" s="113">
        <v>23475</v>
      </c>
      <c r="AQ232" s="243">
        <v>41000</v>
      </c>
      <c r="AR232" s="275"/>
      <c r="AS232" s="244">
        <f t="shared" si="231"/>
        <v>41000</v>
      </c>
      <c r="AT232" s="103"/>
      <c r="AU232" s="164">
        <f t="shared" si="250"/>
        <v>1.3099041533546325</v>
      </c>
      <c r="AV232" s="103">
        <f>(AP232/3*4)*130%</f>
        <v>40690</v>
      </c>
    </row>
    <row r="233" spans="1:48" ht="12.75" hidden="1">
      <c r="A233" s="21"/>
      <c r="B233" s="27">
        <v>4270</v>
      </c>
      <c r="C233" s="18" t="s">
        <v>24</v>
      </c>
      <c r="D233" s="104">
        <v>12000</v>
      </c>
      <c r="E233" s="106"/>
      <c r="F233" s="106">
        <f t="shared" si="251"/>
        <v>12000</v>
      </c>
      <c r="G233" s="109"/>
      <c r="H233" s="106">
        <f t="shared" si="252"/>
        <v>12000</v>
      </c>
      <c r="I233" s="109"/>
      <c r="J233" s="106">
        <f t="shared" si="236"/>
        <v>12000</v>
      </c>
      <c r="K233" s="110"/>
      <c r="L233" s="106">
        <f t="shared" si="237"/>
        <v>12000</v>
      </c>
      <c r="M233" s="109"/>
      <c r="N233" s="106">
        <f t="shared" si="238"/>
        <v>12000</v>
      </c>
      <c r="O233" s="106"/>
      <c r="P233" s="106">
        <f t="shared" si="238"/>
        <v>12000</v>
      </c>
      <c r="Q233" s="109"/>
      <c r="R233" s="106">
        <f t="shared" si="238"/>
        <v>12000</v>
      </c>
      <c r="S233" s="109"/>
      <c r="T233" s="106">
        <f t="shared" si="239"/>
        <v>12000</v>
      </c>
      <c r="U233" s="109"/>
      <c r="V233" s="106">
        <f t="shared" si="240"/>
        <v>12000</v>
      </c>
      <c r="W233" s="109"/>
      <c r="X233" s="106">
        <f t="shared" si="241"/>
        <v>12000</v>
      </c>
      <c r="Y233" s="109"/>
      <c r="Z233" s="106">
        <f t="shared" si="242"/>
        <v>12000</v>
      </c>
      <c r="AA233" s="109"/>
      <c r="AB233" s="106">
        <f t="shared" si="243"/>
        <v>12000</v>
      </c>
      <c r="AC233" s="172"/>
      <c r="AD233" s="106">
        <f t="shared" si="244"/>
        <v>12000</v>
      </c>
      <c r="AE233" s="172"/>
      <c r="AF233" s="106">
        <f t="shared" si="245"/>
        <v>12000</v>
      </c>
      <c r="AG233" s="198"/>
      <c r="AH233" s="106">
        <f t="shared" si="246"/>
        <v>12000</v>
      </c>
      <c r="AI233" s="172"/>
      <c r="AJ233" s="106">
        <f t="shared" si="247"/>
        <v>12000</v>
      </c>
      <c r="AK233" s="172">
        <v>1000</v>
      </c>
      <c r="AL233" s="106">
        <f t="shared" si="248"/>
        <v>13000</v>
      </c>
      <c r="AM233" s="172"/>
      <c r="AN233" s="106">
        <f t="shared" si="249"/>
        <v>13000</v>
      </c>
      <c r="AO233" s="106">
        <v>9918</v>
      </c>
      <c r="AP233" s="113">
        <v>7445</v>
      </c>
      <c r="AQ233" s="243">
        <v>12000</v>
      </c>
      <c r="AR233" s="275"/>
      <c r="AS233" s="244">
        <f t="shared" si="231"/>
        <v>12000</v>
      </c>
      <c r="AT233" s="103"/>
      <c r="AU233" s="159">
        <f t="shared" si="250"/>
        <v>1.2088650100738751</v>
      </c>
      <c r="AV233" s="103"/>
    </row>
    <row r="234" spans="1:48" ht="12.75" hidden="1">
      <c r="A234" s="21"/>
      <c r="B234" s="27">
        <v>4280</v>
      </c>
      <c r="C234" s="18" t="s">
        <v>44</v>
      </c>
      <c r="D234" s="104">
        <v>3500</v>
      </c>
      <c r="E234" s="106"/>
      <c r="F234" s="106">
        <f t="shared" si="251"/>
        <v>3500</v>
      </c>
      <c r="G234" s="109"/>
      <c r="H234" s="106">
        <f t="shared" si="252"/>
        <v>3500</v>
      </c>
      <c r="I234" s="109"/>
      <c r="J234" s="106">
        <f t="shared" si="236"/>
        <v>3500</v>
      </c>
      <c r="K234" s="110"/>
      <c r="L234" s="106">
        <f t="shared" si="237"/>
        <v>3500</v>
      </c>
      <c r="M234" s="109"/>
      <c r="N234" s="106">
        <f t="shared" si="238"/>
        <v>3500</v>
      </c>
      <c r="O234" s="106"/>
      <c r="P234" s="106">
        <f t="shared" si="238"/>
        <v>3500</v>
      </c>
      <c r="Q234" s="109"/>
      <c r="R234" s="106">
        <f t="shared" si="238"/>
        <v>3500</v>
      </c>
      <c r="S234" s="109"/>
      <c r="T234" s="106">
        <f t="shared" si="239"/>
        <v>3500</v>
      </c>
      <c r="U234" s="109"/>
      <c r="V234" s="106">
        <f t="shared" si="240"/>
        <v>3500</v>
      </c>
      <c r="W234" s="109"/>
      <c r="X234" s="106">
        <f t="shared" si="241"/>
        <v>3500</v>
      </c>
      <c r="Y234" s="109"/>
      <c r="Z234" s="106">
        <f t="shared" si="242"/>
        <v>3500</v>
      </c>
      <c r="AA234" s="109"/>
      <c r="AB234" s="106">
        <f t="shared" si="243"/>
        <v>3500</v>
      </c>
      <c r="AC234" s="172"/>
      <c r="AD234" s="106">
        <f t="shared" si="244"/>
        <v>3500</v>
      </c>
      <c r="AE234" s="172"/>
      <c r="AF234" s="106">
        <f t="shared" si="245"/>
        <v>3500</v>
      </c>
      <c r="AG234" s="198"/>
      <c r="AH234" s="106">
        <f t="shared" si="246"/>
        <v>3500</v>
      </c>
      <c r="AI234" s="172"/>
      <c r="AJ234" s="106">
        <f t="shared" si="247"/>
        <v>3500</v>
      </c>
      <c r="AK234" s="172"/>
      <c r="AL234" s="106">
        <f t="shared" si="248"/>
        <v>3500</v>
      </c>
      <c r="AM234" s="172"/>
      <c r="AN234" s="106">
        <f t="shared" si="249"/>
        <v>3500</v>
      </c>
      <c r="AO234" s="106">
        <v>374</v>
      </c>
      <c r="AP234" s="113">
        <v>100</v>
      </c>
      <c r="AQ234" s="243">
        <v>1000</v>
      </c>
      <c r="AR234" s="275"/>
      <c r="AS234" s="244">
        <f t="shared" si="231"/>
        <v>1000</v>
      </c>
      <c r="AT234" s="103"/>
      <c r="AU234" s="159">
        <f t="shared" si="250"/>
        <v>7.499999999999999</v>
      </c>
      <c r="AV234" s="103"/>
    </row>
    <row r="235" spans="1:48" ht="12.75" hidden="1">
      <c r="A235" s="21"/>
      <c r="B235" s="27">
        <v>4300</v>
      </c>
      <c r="C235" s="18" t="s">
        <v>15</v>
      </c>
      <c r="D235" s="104">
        <v>15000</v>
      </c>
      <c r="E235" s="106"/>
      <c r="F235" s="106">
        <f t="shared" si="251"/>
        <v>15000</v>
      </c>
      <c r="G235" s="109"/>
      <c r="H235" s="106">
        <f t="shared" si="252"/>
        <v>15000</v>
      </c>
      <c r="I235" s="109"/>
      <c r="J235" s="106">
        <f t="shared" si="236"/>
        <v>15000</v>
      </c>
      <c r="K235" s="110"/>
      <c r="L235" s="106">
        <f t="shared" si="237"/>
        <v>15000</v>
      </c>
      <c r="M235" s="109"/>
      <c r="N235" s="106">
        <f t="shared" si="238"/>
        <v>15000</v>
      </c>
      <c r="O235" s="106"/>
      <c r="P235" s="106">
        <f t="shared" si="238"/>
        <v>15000</v>
      </c>
      <c r="Q235" s="109"/>
      <c r="R235" s="106">
        <f t="shared" si="238"/>
        <v>15000</v>
      </c>
      <c r="S235" s="109"/>
      <c r="T235" s="106">
        <f t="shared" si="239"/>
        <v>15000</v>
      </c>
      <c r="U235" s="109"/>
      <c r="V235" s="106">
        <f t="shared" si="240"/>
        <v>15000</v>
      </c>
      <c r="W235" s="109"/>
      <c r="X235" s="106">
        <f t="shared" si="241"/>
        <v>15000</v>
      </c>
      <c r="Y235" s="109"/>
      <c r="Z235" s="106">
        <f t="shared" si="242"/>
        <v>15000</v>
      </c>
      <c r="AA235" s="109"/>
      <c r="AB235" s="106">
        <f t="shared" si="243"/>
        <v>15000</v>
      </c>
      <c r="AC235" s="172"/>
      <c r="AD235" s="106">
        <f t="shared" si="244"/>
        <v>15000</v>
      </c>
      <c r="AE235" s="172"/>
      <c r="AF235" s="106">
        <f t="shared" si="245"/>
        <v>15000</v>
      </c>
      <c r="AG235" s="198"/>
      <c r="AH235" s="106">
        <f t="shared" si="246"/>
        <v>15000</v>
      </c>
      <c r="AI235" s="172"/>
      <c r="AJ235" s="106">
        <f t="shared" si="247"/>
        <v>15000</v>
      </c>
      <c r="AK235" s="172">
        <f>2000+5000</f>
        <v>7000</v>
      </c>
      <c r="AL235" s="106">
        <f t="shared" si="248"/>
        <v>22000</v>
      </c>
      <c r="AM235" s="172"/>
      <c r="AN235" s="106">
        <f t="shared" si="249"/>
        <v>22000</v>
      </c>
      <c r="AO235" s="106">
        <v>21105</v>
      </c>
      <c r="AP235" s="113">
        <v>14637</v>
      </c>
      <c r="AQ235" s="243">
        <v>15000</v>
      </c>
      <c r="AR235" s="275"/>
      <c r="AS235" s="244">
        <f t="shared" si="231"/>
        <v>15000</v>
      </c>
      <c r="AT235" s="103"/>
      <c r="AU235" s="159">
        <f t="shared" si="250"/>
        <v>0.7686001229760197</v>
      </c>
      <c r="AV235" s="103"/>
    </row>
    <row r="236" spans="1:48" ht="12.75" hidden="1">
      <c r="A236" s="21"/>
      <c r="B236" s="27">
        <v>4350</v>
      </c>
      <c r="C236" s="18" t="s">
        <v>55</v>
      </c>
      <c r="D236" s="104">
        <v>1500</v>
      </c>
      <c r="E236" s="106"/>
      <c r="F236" s="106">
        <f t="shared" si="251"/>
        <v>1500</v>
      </c>
      <c r="G236" s="109"/>
      <c r="H236" s="106">
        <f t="shared" si="252"/>
        <v>1500</v>
      </c>
      <c r="I236" s="109"/>
      <c r="J236" s="106">
        <f t="shared" si="236"/>
        <v>1500</v>
      </c>
      <c r="K236" s="110"/>
      <c r="L236" s="106">
        <f t="shared" si="237"/>
        <v>1500</v>
      </c>
      <c r="M236" s="109"/>
      <c r="N236" s="106">
        <f t="shared" si="238"/>
        <v>1500</v>
      </c>
      <c r="O236" s="106"/>
      <c r="P236" s="106">
        <f t="shared" si="238"/>
        <v>1500</v>
      </c>
      <c r="Q236" s="109"/>
      <c r="R236" s="106">
        <f t="shared" si="238"/>
        <v>1500</v>
      </c>
      <c r="S236" s="109"/>
      <c r="T236" s="106">
        <f t="shared" si="239"/>
        <v>1500</v>
      </c>
      <c r="U236" s="109"/>
      <c r="V236" s="106">
        <f t="shared" si="240"/>
        <v>1500</v>
      </c>
      <c r="W236" s="109"/>
      <c r="X236" s="106">
        <f t="shared" si="241"/>
        <v>1500</v>
      </c>
      <c r="Y236" s="109"/>
      <c r="Z236" s="106">
        <f t="shared" si="242"/>
        <v>1500</v>
      </c>
      <c r="AA236" s="109"/>
      <c r="AB236" s="106">
        <f t="shared" si="243"/>
        <v>1500</v>
      </c>
      <c r="AC236" s="109"/>
      <c r="AD236" s="106">
        <f t="shared" si="244"/>
        <v>1500</v>
      </c>
      <c r="AE236" s="109"/>
      <c r="AF236" s="106">
        <f t="shared" si="245"/>
        <v>1500</v>
      </c>
      <c r="AG236" s="147"/>
      <c r="AH236" s="106">
        <f t="shared" si="246"/>
        <v>1500</v>
      </c>
      <c r="AI236" s="109"/>
      <c r="AJ236" s="106">
        <f t="shared" si="247"/>
        <v>1500</v>
      </c>
      <c r="AK236" s="109"/>
      <c r="AL236" s="106">
        <f t="shared" si="248"/>
        <v>1500</v>
      </c>
      <c r="AM236" s="109"/>
      <c r="AN236" s="106">
        <f t="shared" si="249"/>
        <v>1500</v>
      </c>
      <c r="AO236" s="106">
        <v>672</v>
      </c>
      <c r="AP236" s="113">
        <v>448</v>
      </c>
      <c r="AQ236" s="243">
        <v>1500</v>
      </c>
      <c r="AR236" s="275"/>
      <c r="AS236" s="244">
        <f t="shared" si="231"/>
        <v>1500</v>
      </c>
      <c r="AT236" s="103"/>
      <c r="AU236" s="159">
        <f t="shared" si="250"/>
        <v>2.511160714285714</v>
      </c>
      <c r="AV236" s="103"/>
    </row>
    <row r="237" spans="1:48" ht="25.5" hidden="1">
      <c r="A237" s="21"/>
      <c r="B237" s="27">
        <v>4360</v>
      </c>
      <c r="C237" s="18" t="s">
        <v>46</v>
      </c>
      <c r="D237" s="104">
        <v>1500</v>
      </c>
      <c r="E237" s="106"/>
      <c r="F237" s="106">
        <f t="shared" si="251"/>
        <v>1500</v>
      </c>
      <c r="G237" s="109"/>
      <c r="H237" s="106">
        <f t="shared" si="252"/>
        <v>1500</v>
      </c>
      <c r="I237" s="109"/>
      <c r="J237" s="106">
        <f t="shared" si="236"/>
        <v>1500</v>
      </c>
      <c r="K237" s="110"/>
      <c r="L237" s="106">
        <f t="shared" si="237"/>
        <v>1500</v>
      </c>
      <c r="M237" s="109"/>
      <c r="N237" s="106">
        <f t="shared" si="238"/>
        <v>1500</v>
      </c>
      <c r="O237" s="106"/>
      <c r="P237" s="106">
        <f t="shared" si="238"/>
        <v>1500</v>
      </c>
      <c r="Q237" s="109"/>
      <c r="R237" s="106">
        <f t="shared" si="238"/>
        <v>1500</v>
      </c>
      <c r="S237" s="109"/>
      <c r="T237" s="106">
        <f t="shared" si="239"/>
        <v>1500</v>
      </c>
      <c r="U237" s="109"/>
      <c r="V237" s="106">
        <f t="shared" si="240"/>
        <v>1500</v>
      </c>
      <c r="W237" s="109"/>
      <c r="X237" s="106">
        <f t="shared" si="241"/>
        <v>1500</v>
      </c>
      <c r="Y237" s="109"/>
      <c r="Z237" s="106">
        <f t="shared" si="242"/>
        <v>1500</v>
      </c>
      <c r="AA237" s="109"/>
      <c r="AB237" s="106">
        <f t="shared" si="243"/>
        <v>1500</v>
      </c>
      <c r="AC237" s="109"/>
      <c r="AD237" s="106">
        <f t="shared" si="244"/>
        <v>1500</v>
      </c>
      <c r="AE237" s="109"/>
      <c r="AF237" s="106">
        <f t="shared" si="245"/>
        <v>1500</v>
      </c>
      <c r="AG237" s="147"/>
      <c r="AH237" s="106">
        <f t="shared" si="246"/>
        <v>1500</v>
      </c>
      <c r="AI237" s="109"/>
      <c r="AJ237" s="106">
        <f t="shared" si="247"/>
        <v>1500</v>
      </c>
      <c r="AK237" s="109"/>
      <c r="AL237" s="106">
        <f t="shared" si="248"/>
        <v>1500</v>
      </c>
      <c r="AM237" s="109"/>
      <c r="AN237" s="106">
        <f t="shared" si="249"/>
        <v>1500</v>
      </c>
      <c r="AO237" s="106">
        <v>805</v>
      </c>
      <c r="AP237" s="113">
        <v>540</v>
      </c>
      <c r="AQ237" s="243">
        <v>1500</v>
      </c>
      <c r="AR237" s="275"/>
      <c r="AS237" s="244">
        <f t="shared" si="231"/>
        <v>1500</v>
      </c>
      <c r="AT237" s="103"/>
      <c r="AU237" s="159">
        <f t="shared" si="250"/>
        <v>2.0833333333333335</v>
      </c>
      <c r="AV237" s="103"/>
    </row>
    <row r="238" spans="1:48" ht="25.5" hidden="1">
      <c r="A238" s="21"/>
      <c r="B238" s="27">
        <v>4370</v>
      </c>
      <c r="C238" s="18" t="s">
        <v>47</v>
      </c>
      <c r="D238" s="104">
        <v>7000</v>
      </c>
      <c r="E238" s="106"/>
      <c r="F238" s="106">
        <f t="shared" si="251"/>
        <v>7000</v>
      </c>
      <c r="G238" s="109"/>
      <c r="H238" s="106">
        <f t="shared" si="252"/>
        <v>7000</v>
      </c>
      <c r="I238" s="109"/>
      <c r="J238" s="106">
        <f t="shared" si="236"/>
        <v>7000</v>
      </c>
      <c r="K238" s="110"/>
      <c r="L238" s="106">
        <f t="shared" si="237"/>
        <v>7000</v>
      </c>
      <c r="M238" s="109"/>
      <c r="N238" s="106">
        <f t="shared" si="238"/>
        <v>7000</v>
      </c>
      <c r="O238" s="106"/>
      <c r="P238" s="106">
        <f t="shared" si="238"/>
        <v>7000</v>
      </c>
      <c r="Q238" s="109"/>
      <c r="R238" s="106">
        <f t="shared" si="238"/>
        <v>7000</v>
      </c>
      <c r="S238" s="109"/>
      <c r="T238" s="106">
        <f t="shared" si="239"/>
        <v>7000</v>
      </c>
      <c r="U238" s="109"/>
      <c r="V238" s="106">
        <f t="shared" si="240"/>
        <v>7000</v>
      </c>
      <c r="W238" s="109"/>
      <c r="X238" s="106">
        <f t="shared" si="241"/>
        <v>7000</v>
      </c>
      <c r="Y238" s="109"/>
      <c r="Z238" s="106">
        <f t="shared" si="242"/>
        <v>7000</v>
      </c>
      <c r="AA238" s="109"/>
      <c r="AB238" s="106">
        <f t="shared" si="243"/>
        <v>7000</v>
      </c>
      <c r="AC238" s="109"/>
      <c r="AD238" s="106">
        <f t="shared" si="244"/>
        <v>7000</v>
      </c>
      <c r="AE238" s="109"/>
      <c r="AF238" s="106">
        <f t="shared" si="245"/>
        <v>7000</v>
      </c>
      <c r="AG238" s="147"/>
      <c r="AH238" s="106">
        <f t="shared" si="246"/>
        <v>7000</v>
      </c>
      <c r="AI238" s="109"/>
      <c r="AJ238" s="106">
        <f t="shared" si="247"/>
        <v>7000</v>
      </c>
      <c r="AK238" s="109"/>
      <c r="AL238" s="106">
        <f t="shared" si="248"/>
        <v>7000</v>
      </c>
      <c r="AM238" s="109"/>
      <c r="AN238" s="106">
        <f t="shared" si="249"/>
        <v>7000</v>
      </c>
      <c r="AO238" s="106">
        <v>5896</v>
      </c>
      <c r="AP238" s="113">
        <v>3530</v>
      </c>
      <c r="AQ238" s="243">
        <v>5000</v>
      </c>
      <c r="AR238" s="275"/>
      <c r="AS238" s="244">
        <f t="shared" si="231"/>
        <v>5000</v>
      </c>
      <c r="AT238" s="103"/>
      <c r="AU238" s="159">
        <f t="shared" si="250"/>
        <v>1.0623229461756374</v>
      </c>
      <c r="AV238" s="103">
        <f aca="true" t="shared" si="253" ref="AV238:AV251">AP238/3*4</f>
        <v>4706.666666666667</v>
      </c>
    </row>
    <row r="239" spans="1:48" ht="12.75" hidden="1">
      <c r="A239" s="21"/>
      <c r="B239" s="27">
        <v>4410</v>
      </c>
      <c r="C239" s="18" t="s">
        <v>48</v>
      </c>
      <c r="D239" s="104">
        <v>8000</v>
      </c>
      <c r="E239" s="106"/>
      <c r="F239" s="106">
        <f t="shared" si="251"/>
        <v>8000</v>
      </c>
      <c r="G239" s="109"/>
      <c r="H239" s="106">
        <f t="shared" si="252"/>
        <v>8000</v>
      </c>
      <c r="I239" s="109"/>
      <c r="J239" s="106">
        <f t="shared" si="236"/>
        <v>8000</v>
      </c>
      <c r="K239" s="110"/>
      <c r="L239" s="106">
        <f t="shared" si="237"/>
        <v>8000</v>
      </c>
      <c r="M239" s="109"/>
      <c r="N239" s="106">
        <f t="shared" si="238"/>
        <v>8000</v>
      </c>
      <c r="O239" s="106"/>
      <c r="P239" s="106">
        <f t="shared" si="238"/>
        <v>8000</v>
      </c>
      <c r="Q239" s="109"/>
      <c r="R239" s="106">
        <f t="shared" si="238"/>
        <v>8000</v>
      </c>
      <c r="S239" s="109"/>
      <c r="T239" s="106">
        <f t="shared" si="239"/>
        <v>8000</v>
      </c>
      <c r="U239" s="109"/>
      <c r="V239" s="106">
        <f t="shared" si="240"/>
        <v>8000</v>
      </c>
      <c r="W239" s="109"/>
      <c r="X239" s="106">
        <f t="shared" si="241"/>
        <v>8000</v>
      </c>
      <c r="Y239" s="109"/>
      <c r="Z239" s="106">
        <f t="shared" si="242"/>
        <v>8000</v>
      </c>
      <c r="AA239" s="109"/>
      <c r="AB239" s="106">
        <f t="shared" si="243"/>
        <v>8000</v>
      </c>
      <c r="AC239" s="109"/>
      <c r="AD239" s="106">
        <f t="shared" si="244"/>
        <v>8000</v>
      </c>
      <c r="AE239" s="109"/>
      <c r="AF239" s="106">
        <f t="shared" si="245"/>
        <v>8000</v>
      </c>
      <c r="AG239" s="147"/>
      <c r="AH239" s="106">
        <f t="shared" si="246"/>
        <v>8000</v>
      </c>
      <c r="AI239" s="109"/>
      <c r="AJ239" s="106">
        <f t="shared" si="247"/>
        <v>8000</v>
      </c>
      <c r="AK239" s="109"/>
      <c r="AL239" s="106">
        <f t="shared" si="248"/>
        <v>8000</v>
      </c>
      <c r="AM239" s="109"/>
      <c r="AN239" s="106">
        <f t="shared" si="249"/>
        <v>8000</v>
      </c>
      <c r="AO239" s="106">
        <v>4069</v>
      </c>
      <c r="AP239" s="113">
        <v>3338</v>
      </c>
      <c r="AQ239" s="243">
        <v>5500</v>
      </c>
      <c r="AR239" s="275"/>
      <c r="AS239" s="244">
        <f t="shared" si="231"/>
        <v>5500</v>
      </c>
      <c r="AT239" s="103"/>
      <c r="AU239" s="159">
        <f t="shared" si="250"/>
        <v>1.2357699221090472</v>
      </c>
      <c r="AV239" s="103">
        <f t="shared" si="253"/>
        <v>4450.666666666667</v>
      </c>
    </row>
    <row r="240" spans="1:48" ht="12.75" hidden="1">
      <c r="A240" s="21"/>
      <c r="B240" s="27">
        <v>4430</v>
      </c>
      <c r="C240" s="18" t="s">
        <v>16</v>
      </c>
      <c r="D240" s="104">
        <v>9000</v>
      </c>
      <c r="E240" s="106"/>
      <c r="F240" s="106">
        <f t="shared" si="251"/>
        <v>9000</v>
      </c>
      <c r="G240" s="109"/>
      <c r="H240" s="106">
        <f t="shared" si="252"/>
        <v>9000</v>
      </c>
      <c r="I240" s="109"/>
      <c r="J240" s="106">
        <f t="shared" si="236"/>
        <v>9000</v>
      </c>
      <c r="K240" s="110"/>
      <c r="L240" s="106">
        <f t="shared" si="237"/>
        <v>9000</v>
      </c>
      <c r="M240" s="109"/>
      <c r="N240" s="106">
        <f t="shared" si="238"/>
        <v>9000</v>
      </c>
      <c r="O240" s="106"/>
      <c r="P240" s="106">
        <f t="shared" si="238"/>
        <v>9000</v>
      </c>
      <c r="Q240" s="109"/>
      <c r="R240" s="106">
        <f t="shared" si="238"/>
        <v>9000</v>
      </c>
      <c r="S240" s="109"/>
      <c r="T240" s="106">
        <f t="shared" si="239"/>
        <v>9000</v>
      </c>
      <c r="U240" s="109"/>
      <c r="V240" s="106">
        <f t="shared" si="240"/>
        <v>9000</v>
      </c>
      <c r="W240" s="109"/>
      <c r="X240" s="106">
        <f t="shared" si="241"/>
        <v>9000</v>
      </c>
      <c r="Y240" s="109"/>
      <c r="Z240" s="106">
        <f t="shared" si="242"/>
        <v>9000</v>
      </c>
      <c r="AA240" s="109"/>
      <c r="AB240" s="106">
        <f t="shared" si="243"/>
        <v>9000</v>
      </c>
      <c r="AC240" s="109"/>
      <c r="AD240" s="106">
        <f t="shared" si="244"/>
        <v>9000</v>
      </c>
      <c r="AE240" s="109"/>
      <c r="AF240" s="106">
        <f t="shared" si="245"/>
        <v>9000</v>
      </c>
      <c r="AG240" s="147"/>
      <c r="AH240" s="106">
        <f t="shared" si="246"/>
        <v>9000</v>
      </c>
      <c r="AI240" s="109"/>
      <c r="AJ240" s="106">
        <f t="shared" si="247"/>
        <v>9000</v>
      </c>
      <c r="AK240" s="109">
        <v>-2000</v>
      </c>
      <c r="AL240" s="106">
        <f t="shared" si="248"/>
        <v>7000</v>
      </c>
      <c r="AM240" s="109"/>
      <c r="AN240" s="106">
        <f t="shared" si="249"/>
        <v>7000</v>
      </c>
      <c r="AO240" s="106">
        <v>8038</v>
      </c>
      <c r="AP240" s="113">
        <v>2144</v>
      </c>
      <c r="AQ240" s="243">
        <v>3500</v>
      </c>
      <c r="AR240" s="275"/>
      <c r="AS240" s="244">
        <f t="shared" si="231"/>
        <v>3500</v>
      </c>
      <c r="AT240" s="103"/>
      <c r="AU240" s="159">
        <f t="shared" si="250"/>
        <v>1.2243470149253732</v>
      </c>
      <c r="AV240" s="103">
        <f t="shared" si="253"/>
        <v>2858.6666666666665</v>
      </c>
    </row>
    <row r="241" spans="1:48" ht="12.75" hidden="1">
      <c r="A241" s="21"/>
      <c r="B241" s="27">
        <v>4440</v>
      </c>
      <c r="C241" s="18" t="s">
        <v>50</v>
      </c>
      <c r="D241" s="104">
        <v>106011</v>
      </c>
      <c r="E241" s="106"/>
      <c r="F241" s="106">
        <f t="shared" si="251"/>
        <v>106011</v>
      </c>
      <c r="G241" s="109"/>
      <c r="H241" s="106">
        <f t="shared" si="252"/>
        <v>106011</v>
      </c>
      <c r="I241" s="109"/>
      <c r="J241" s="106">
        <f t="shared" si="236"/>
        <v>106011</v>
      </c>
      <c r="K241" s="110"/>
      <c r="L241" s="106">
        <f t="shared" si="237"/>
        <v>106011</v>
      </c>
      <c r="M241" s="109"/>
      <c r="N241" s="106">
        <f t="shared" si="238"/>
        <v>106011</v>
      </c>
      <c r="O241" s="106"/>
      <c r="P241" s="106">
        <f t="shared" si="238"/>
        <v>106011</v>
      </c>
      <c r="Q241" s="109"/>
      <c r="R241" s="106">
        <f t="shared" si="238"/>
        <v>106011</v>
      </c>
      <c r="S241" s="109"/>
      <c r="T241" s="106">
        <f t="shared" si="239"/>
        <v>106011</v>
      </c>
      <c r="U241" s="109"/>
      <c r="V241" s="106">
        <f t="shared" si="240"/>
        <v>106011</v>
      </c>
      <c r="W241" s="109"/>
      <c r="X241" s="106">
        <f t="shared" si="241"/>
        <v>106011</v>
      </c>
      <c r="Y241" s="109"/>
      <c r="Z241" s="106">
        <f t="shared" si="242"/>
        <v>106011</v>
      </c>
      <c r="AA241" s="109"/>
      <c r="AB241" s="106">
        <f t="shared" si="243"/>
        <v>106011</v>
      </c>
      <c r="AC241" s="109"/>
      <c r="AD241" s="106">
        <f t="shared" si="244"/>
        <v>106011</v>
      </c>
      <c r="AE241" s="109"/>
      <c r="AF241" s="106">
        <f t="shared" si="245"/>
        <v>106011</v>
      </c>
      <c r="AG241" s="147"/>
      <c r="AH241" s="106">
        <f t="shared" si="246"/>
        <v>106011</v>
      </c>
      <c r="AI241" s="109"/>
      <c r="AJ241" s="106">
        <f t="shared" si="247"/>
        <v>106011</v>
      </c>
      <c r="AK241" s="109"/>
      <c r="AL241" s="106">
        <f t="shared" si="248"/>
        <v>106011</v>
      </c>
      <c r="AM241" s="109"/>
      <c r="AN241" s="106">
        <f t="shared" si="249"/>
        <v>106011</v>
      </c>
      <c r="AO241" s="106">
        <v>106047</v>
      </c>
      <c r="AP241" s="113">
        <v>79500</v>
      </c>
      <c r="AQ241" s="243">
        <v>115577</v>
      </c>
      <c r="AR241" s="275"/>
      <c r="AS241" s="244">
        <f t="shared" si="231"/>
        <v>115577</v>
      </c>
      <c r="AT241" s="103"/>
      <c r="AU241" s="159">
        <f t="shared" si="250"/>
        <v>1.0903490566037737</v>
      </c>
      <c r="AV241" s="103">
        <f t="shared" si="253"/>
        <v>106000</v>
      </c>
    </row>
    <row r="242" spans="1:48" ht="25.5" hidden="1">
      <c r="A242" s="21"/>
      <c r="B242" s="27">
        <v>4740</v>
      </c>
      <c r="C242" s="18" t="s">
        <v>52</v>
      </c>
      <c r="D242" s="104">
        <v>3000</v>
      </c>
      <c r="E242" s="106"/>
      <c r="F242" s="106">
        <f t="shared" si="251"/>
        <v>3000</v>
      </c>
      <c r="G242" s="109"/>
      <c r="H242" s="106">
        <f t="shared" si="252"/>
        <v>3000</v>
      </c>
      <c r="I242" s="109"/>
      <c r="J242" s="106">
        <f t="shared" si="236"/>
        <v>3000</v>
      </c>
      <c r="K242" s="110"/>
      <c r="L242" s="106">
        <f t="shared" si="237"/>
        <v>3000</v>
      </c>
      <c r="M242" s="109"/>
      <c r="N242" s="106">
        <f t="shared" si="238"/>
        <v>3000</v>
      </c>
      <c r="O242" s="106"/>
      <c r="P242" s="106">
        <f t="shared" si="238"/>
        <v>3000</v>
      </c>
      <c r="Q242" s="109"/>
      <c r="R242" s="106">
        <f t="shared" si="238"/>
        <v>3000</v>
      </c>
      <c r="S242" s="109"/>
      <c r="T242" s="106">
        <f t="shared" si="239"/>
        <v>3000</v>
      </c>
      <c r="U242" s="109"/>
      <c r="V242" s="106">
        <f t="shared" si="240"/>
        <v>3000</v>
      </c>
      <c r="W242" s="109"/>
      <c r="X242" s="106">
        <f t="shared" si="241"/>
        <v>3000</v>
      </c>
      <c r="Y242" s="109"/>
      <c r="Z242" s="106">
        <f t="shared" si="242"/>
        <v>3000</v>
      </c>
      <c r="AA242" s="109"/>
      <c r="AB242" s="106">
        <f t="shared" si="243"/>
        <v>3000</v>
      </c>
      <c r="AC242" s="109"/>
      <c r="AD242" s="106">
        <f t="shared" si="244"/>
        <v>3000</v>
      </c>
      <c r="AE242" s="109"/>
      <c r="AF242" s="106">
        <f t="shared" si="245"/>
        <v>3000</v>
      </c>
      <c r="AG242" s="147"/>
      <c r="AH242" s="106">
        <f t="shared" si="246"/>
        <v>3000</v>
      </c>
      <c r="AI242" s="109"/>
      <c r="AJ242" s="106">
        <f t="shared" si="247"/>
        <v>3000</v>
      </c>
      <c r="AK242" s="109"/>
      <c r="AL242" s="106">
        <f t="shared" si="248"/>
        <v>3000</v>
      </c>
      <c r="AM242" s="109"/>
      <c r="AN242" s="106">
        <f t="shared" si="249"/>
        <v>3000</v>
      </c>
      <c r="AO242" s="106">
        <v>923</v>
      </c>
      <c r="AP242" s="113">
        <v>858</v>
      </c>
      <c r="AQ242" s="243">
        <v>1500</v>
      </c>
      <c r="AR242" s="275"/>
      <c r="AS242" s="244">
        <f t="shared" si="231"/>
        <v>1500</v>
      </c>
      <c r="AT242" s="103"/>
      <c r="AU242" s="159">
        <f t="shared" si="250"/>
        <v>1.3111888111888113</v>
      </c>
      <c r="AV242" s="103">
        <f t="shared" si="253"/>
        <v>1144</v>
      </c>
    </row>
    <row r="243" spans="1:48" ht="12.75" hidden="1">
      <c r="A243" s="21"/>
      <c r="B243" s="27">
        <v>4750</v>
      </c>
      <c r="C243" s="18" t="s">
        <v>53</v>
      </c>
      <c r="D243" s="104">
        <v>5000</v>
      </c>
      <c r="E243" s="106"/>
      <c r="F243" s="106">
        <f t="shared" si="251"/>
        <v>5000</v>
      </c>
      <c r="G243" s="109"/>
      <c r="H243" s="106">
        <f t="shared" si="252"/>
        <v>5000</v>
      </c>
      <c r="I243" s="109"/>
      <c r="J243" s="106">
        <f t="shared" si="236"/>
        <v>5000</v>
      </c>
      <c r="K243" s="110"/>
      <c r="L243" s="106">
        <f t="shared" si="237"/>
        <v>5000</v>
      </c>
      <c r="M243" s="109"/>
      <c r="N243" s="106">
        <f t="shared" si="238"/>
        <v>5000</v>
      </c>
      <c r="O243" s="106"/>
      <c r="P243" s="106">
        <f t="shared" si="238"/>
        <v>5000</v>
      </c>
      <c r="Q243" s="109"/>
      <c r="R243" s="106">
        <f t="shared" si="238"/>
        <v>5000</v>
      </c>
      <c r="S243" s="109"/>
      <c r="T243" s="106">
        <f t="shared" si="239"/>
        <v>5000</v>
      </c>
      <c r="U243" s="109"/>
      <c r="V243" s="106">
        <f t="shared" si="240"/>
        <v>5000</v>
      </c>
      <c r="W243" s="109"/>
      <c r="X243" s="106">
        <f t="shared" si="241"/>
        <v>5000</v>
      </c>
      <c r="Y243" s="109"/>
      <c r="Z243" s="106">
        <f t="shared" si="242"/>
        <v>5000</v>
      </c>
      <c r="AA243" s="109"/>
      <c r="AB243" s="106">
        <f t="shared" si="243"/>
        <v>5000</v>
      </c>
      <c r="AC243" s="109"/>
      <c r="AD243" s="106">
        <f t="shared" si="244"/>
        <v>5000</v>
      </c>
      <c r="AE243" s="109"/>
      <c r="AF243" s="106">
        <f t="shared" si="245"/>
        <v>5000</v>
      </c>
      <c r="AG243" s="147"/>
      <c r="AH243" s="106">
        <f t="shared" si="246"/>
        <v>5000</v>
      </c>
      <c r="AI243" s="109"/>
      <c r="AJ243" s="106">
        <f t="shared" si="247"/>
        <v>5000</v>
      </c>
      <c r="AK243" s="109">
        <v>2000</v>
      </c>
      <c r="AL243" s="106">
        <f t="shared" si="248"/>
        <v>7000</v>
      </c>
      <c r="AM243" s="109"/>
      <c r="AN243" s="106">
        <v>9000</v>
      </c>
      <c r="AO243" s="106">
        <v>7643</v>
      </c>
      <c r="AP243" s="113">
        <v>4806</v>
      </c>
      <c r="AQ243" s="243">
        <v>9000</v>
      </c>
      <c r="AR243" s="275"/>
      <c r="AS243" s="244">
        <f t="shared" si="231"/>
        <v>9000</v>
      </c>
      <c r="AT243" s="103"/>
      <c r="AU243" s="159">
        <f t="shared" si="250"/>
        <v>1.404494382022472</v>
      </c>
      <c r="AV243" s="103">
        <f t="shared" si="253"/>
        <v>6408</v>
      </c>
    </row>
    <row r="244" spans="1:48" ht="12.75" hidden="1">
      <c r="A244" s="21"/>
      <c r="B244" s="27">
        <v>6060</v>
      </c>
      <c r="C244" s="18" t="s">
        <v>61</v>
      </c>
      <c r="D244" s="104">
        <v>0</v>
      </c>
      <c r="E244" s="106"/>
      <c r="F244" s="106">
        <f t="shared" si="251"/>
        <v>0</v>
      </c>
      <c r="G244" s="109"/>
      <c r="H244" s="106">
        <f t="shared" si="252"/>
        <v>0</v>
      </c>
      <c r="I244" s="109"/>
      <c r="J244" s="106">
        <f t="shared" si="236"/>
        <v>0</v>
      </c>
      <c r="K244" s="110"/>
      <c r="L244" s="106">
        <f t="shared" si="237"/>
        <v>0</v>
      </c>
      <c r="M244" s="109"/>
      <c r="N244" s="106">
        <f t="shared" si="238"/>
        <v>0</v>
      </c>
      <c r="O244" s="106"/>
      <c r="P244" s="106">
        <f t="shared" si="238"/>
        <v>0</v>
      </c>
      <c r="Q244" s="109"/>
      <c r="R244" s="106">
        <f t="shared" si="238"/>
        <v>0</v>
      </c>
      <c r="S244" s="109"/>
      <c r="T244" s="106">
        <f t="shared" si="239"/>
        <v>0</v>
      </c>
      <c r="U244" s="109"/>
      <c r="V244" s="106">
        <f t="shared" si="240"/>
        <v>0</v>
      </c>
      <c r="W244" s="109"/>
      <c r="X244" s="106">
        <f t="shared" si="241"/>
        <v>0</v>
      </c>
      <c r="Y244" s="109"/>
      <c r="Z244" s="106">
        <f t="shared" si="242"/>
        <v>0</v>
      </c>
      <c r="AA244" s="109"/>
      <c r="AB244" s="106">
        <f t="shared" si="243"/>
        <v>0</v>
      </c>
      <c r="AC244" s="109"/>
      <c r="AD244" s="106">
        <f t="shared" si="244"/>
        <v>0</v>
      </c>
      <c r="AE244" s="109"/>
      <c r="AF244" s="106">
        <f t="shared" si="245"/>
        <v>0</v>
      </c>
      <c r="AG244" s="147"/>
      <c r="AH244" s="106">
        <f t="shared" si="246"/>
        <v>0</v>
      </c>
      <c r="AI244" s="109"/>
      <c r="AJ244" s="106">
        <f t="shared" si="247"/>
        <v>0</v>
      </c>
      <c r="AK244" s="109"/>
      <c r="AL244" s="106">
        <f t="shared" si="248"/>
        <v>0</v>
      </c>
      <c r="AM244" s="109"/>
      <c r="AN244" s="106">
        <f t="shared" si="249"/>
        <v>0</v>
      </c>
      <c r="AO244" s="106">
        <f>AN244+AM244</f>
        <v>0</v>
      </c>
      <c r="AP244" s="113">
        <f>AO244+AN244</f>
        <v>0</v>
      </c>
      <c r="AQ244" s="243">
        <v>0</v>
      </c>
      <c r="AR244" s="275"/>
      <c r="AS244" s="244">
        <f t="shared" si="231"/>
        <v>0</v>
      </c>
      <c r="AT244" s="103"/>
      <c r="AU244" s="159" t="e">
        <f t="shared" si="250"/>
        <v>#DIV/0!</v>
      </c>
      <c r="AV244" s="103">
        <f t="shared" si="253"/>
        <v>0</v>
      </c>
    </row>
    <row r="245" spans="1:48" ht="12.75" hidden="1">
      <c r="A245" s="31">
        <v>80113</v>
      </c>
      <c r="B245" s="26"/>
      <c r="C245" s="19" t="s">
        <v>81</v>
      </c>
      <c r="D245" s="190">
        <f>SUM(D246:D259)</f>
        <v>440953</v>
      </c>
      <c r="E245" s="190">
        <f aca="true" t="shared" si="254" ref="E245:AQ245">SUM(E246:E259)</f>
        <v>0</v>
      </c>
      <c r="F245" s="190">
        <f t="shared" si="254"/>
        <v>440953</v>
      </c>
      <c r="G245" s="190">
        <f t="shared" si="254"/>
        <v>0</v>
      </c>
      <c r="H245" s="190">
        <f t="shared" si="254"/>
        <v>440953</v>
      </c>
      <c r="I245" s="190">
        <f t="shared" si="254"/>
        <v>0</v>
      </c>
      <c r="J245" s="190">
        <f t="shared" si="254"/>
        <v>440953</v>
      </c>
      <c r="K245" s="190">
        <f t="shared" si="254"/>
        <v>0</v>
      </c>
      <c r="L245" s="190">
        <f t="shared" si="254"/>
        <v>440953</v>
      </c>
      <c r="M245" s="190">
        <f t="shared" si="254"/>
        <v>0</v>
      </c>
      <c r="N245" s="190">
        <f t="shared" si="254"/>
        <v>440953</v>
      </c>
      <c r="O245" s="190">
        <f t="shared" si="254"/>
        <v>0</v>
      </c>
      <c r="P245" s="190">
        <f t="shared" si="254"/>
        <v>440953</v>
      </c>
      <c r="Q245" s="190">
        <f t="shared" si="254"/>
        <v>0</v>
      </c>
      <c r="R245" s="190">
        <f t="shared" si="254"/>
        <v>440953</v>
      </c>
      <c r="S245" s="190">
        <f t="shared" si="254"/>
        <v>0</v>
      </c>
      <c r="T245" s="190">
        <f t="shared" si="254"/>
        <v>440953</v>
      </c>
      <c r="U245" s="190">
        <f t="shared" si="254"/>
        <v>0</v>
      </c>
      <c r="V245" s="190">
        <f t="shared" si="254"/>
        <v>440953</v>
      </c>
      <c r="W245" s="190">
        <f t="shared" si="254"/>
        <v>0</v>
      </c>
      <c r="X245" s="190">
        <f t="shared" si="254"/>
        <v>440953</v>
      </c>
      <c r="Y245" s="190">
        <f t="shared" si="254"/>
        <v>0</v>
      </c>
      <c r="Z245" s="190">
        <f t="shared" si="254"/>
        <v>440953</v>
      </c>
      <c r="AA245" s="190">
        <f t="shared" si="254"/>
        <v>0</v>
      </c>
      <c r="AB245" s="190">
        <f t="shared" si="254"/>
        <v>440953</v>
      </c>
      <c r="AC245" s="190">
        <f t="shared" si="254"/>
        <v>0</v>
      </c>
      <c r="AD245" s="190">
        <f t="shared" si="254"/>
        <v>440953</v>
      </c>
      <c r="AE245" s="190">
        <f t="shared" si="254"/>
        <v>0</v>
      </c>
      <c r="AF245" s="190">
        <f t="shared" si="254"/>
        <v>440953</v>
      </c>
      <c r="AG245" s="190">
        <f t="shared" si="254"/>
        <v>42000</v>
      </c>
      <c r="AH245" s="190">
        <f t="shared" si="254"/>
        <v>482953</v>
      </c>
      <c r="AI245" s="190">
        <f t="shared" si="254"/>
        <v>0</v>
      </c>
      <c r="AJ245" s="190">
        <f t="shared" si="254"/>
        <v>482953</v>
      </c>
      <c r="AK245" s="190">
        <f t="shared" si="254"/>
        <v>0</v>
      </c>
      <c r="AL245" s="190">
        <f t="shared" si="254"/>
        <v>482953</v>
      </c>
      <c r="AM245" s="190">
        <f t="shared" si="254"/>
        <v>0</v>
      </c>
      <c r="AN245" s="190">
        <f t="shared" si="254"/>
        <v>484603</v>
      </c>
      <c r="AO245" s="190">
        <f t="shared" si="254"/>
        <v>484734</v>
      </c>
      <c r="AP245" s="81">
        <f t="shared" si="254"/>
        <v>292447</v>
      </c>
      <c r="AQ245" s="247">
        <f t="shared" si="254"/>
        <v>564074</v>
      </c>
      <c r="AR245" s="274"/>
      <c r="AS245" s="244">
        <f t="shared" si="231"/>
        <v>564074</v>
      </c>
      <c r="AT245" s="103"/>
      <c r="AU245" s="159">
        <f t="shared" si="250"/>
        <v>1.4466057097525364</v>
      </c>
      <c r="AV245" s="103">
        <f t="shared" si="253"/>
        <v>389929.3333333333</v>
      </c>
    </row>
    <row r="246" spans="1:49" ht="12.75" hidden="1">
      <c r="A246" s="31"/>
      <c r="B246" s="27">
        <v>3020</v>
      </c>
      <c r="C246" s="18" t="s">
        <v>73</v>
      </c>
      <c r="D246" s="104">
        <v>1240</v>
      </c>
      <c r="E246" s="106"/>
      <c r="F246" s="106">
        <f t="shared" si="251"/>
        <v>1240</v>
      </c>
      <c r="G246" s="109"/>
      <c r="H246" s="106">
        <f t="shared" si="252"/>
        <v>1240</v>
      </c>
      <c r="I246" s="109"/>
      <c r="J246" s="106">
        <f aca="true" t="shared" si="255" ref="J246:J259">I246+H246</f>
        <v>1240</v>
      </c>
      <c r="K246" s="110"/>
      <c r="L246" s="106">
        <f aca="true" t="shared" si="256" ref="L246:L259">K246+H246</f>
        <v>1240</v>
      </c>
      <c r="M246" s="109"/>
      <c r="N246" s="106">
        <f aca="true" t="shared" si="257" ref="N246:R259">M246+L246</f>
        <v>1240</v>
      </c>
      <c r="O246" s="106"/>
      <c r="P246" s="106">
        <f t="shared" si="257"/>
        <v>1240</v>
      </c>
      <c r="Q246" s="109"/>
      <c r="R246" s="106">
        <f t="shared" si="257"/>
        <v>1240</v>
      </c>
      <c r="S246" s="109"/>
      <c r="T246" s="106">
        <f aca="true" t="shared" si="258" ref="T246:T259">S246+R246</f>
        <v>1240</v>
      </c>
      <c r="U246" s="109"/>
      <c r="V246" s="106">
        <f aca="true" t="shared" si="259" ref="V246:V259">U246+T246</f>
        <v>1240</v>
      </c>
      <c r="W246" s="109"/>
      <c r="X246" s="106">
        <f aca="true" t="shared" si="260" ref="X246:X259">W246+V246</f>
        <v>1240</v>
      </c>
      <c r="Y246" s="109"/>
      <c r="Z246" s="106">
        <f aca="true" t="shared" si="261" ref="Z246:Z259">Y246+X246</f>
        <v>1240</v>
      </c>
      <c r="AA246" s="109"/>
      <c r="AB246" s="106">
        <f aca="true" t="shared" si="262" ref="AB246:AB259">AA246+Z246</f>
        <v>1240</v>
      </c>
      <c r="AC246" s="109"/>
      <c r="AD246" s="106">
        <f aca="true" t="shared" si="263" ref="AD246:AD259">AC246+AB246</f>
        <v>1240</v>
      </c>
      <c r="AE246" s="109"/>
      <c r="AF246" s="106">
        <f aca="true" t="shared" si="264" ref="AF246:AF259">AE246+AD246</f>
        <v>1240</v>
      </c>
      <c r="AG246" s="147"/>
      <c r="AH246" s="106">
        <f aca="true" t="shared" si="265" ref="AH246:AH259">AG246+AF246</f>
        <v>1240</v>
      </c>
      <c r="AI246" s="109"/>
      <c r="AJ246" s="106">
        <f aca="true" t="shared" si="266" ref="AJ246:AJ259">AI246+AH246</f>
        <v>1240</v>
      </c>
      <c r="AK246" s="109"/>
      <c r="AL246" s="106">
        <f aca="true" t="shared" si="267" ref="AL246:AL259">AK246+AJ246</f>
        <v>1240</v>
      </c>
      <c r="AM246" s="109"/>
      <c r="AN246" s="106">
        <f aca="true" t="shared" si="268" ref="AN246:AN258">AM246+AL246</f>
        <v>1240</v>
      </c>
      <c r="AO246" s="106">
        <v>467</v>
      </c>
      <c r="AP246" s="113">
        <v>540</v>
      </c>
      <c r="AQ246" s="243">
        <v>1240</v>
      </c>
      <c r="AR246" s="275"/>
      <c r="AS246" s="244">
        <f t="shared" si="231"/>
        <v>1240</v>
      </c>
      <c r="AT246" s="103"/>
      <c r="AU246" s="159">
        <f t="shared" si="250"/>
        <v>1.7222222222222223</v>
      </c>
      <c r="AV246" s="103">
        <f t="shared" si="253"/>
        <v>720</v>
      </c>
      <c r="AW246" t="s">
        <v>195</v>
      </c>
    </row>
    <row r="247" spans="1:48" ht="12.75" hidden="1">
      <c r="A247" s="21"/>
      <c r="B247" s="27">
        <v>4010</v>
      </c>
      <c r="C247" s="18" t="s">
        <v>37</v>
      </c>
      <c r="D247" s="104">
        <v>48476</v>
      </c>
      <c r="E247" s="106"/>
      <c r="F247" s="106">
        <f t="shared" si="251"/>
        <v>48476</v>
      </c>
      <c r="G247" s="109"/>
      <c r="H247" s="106">
        <f t="shared" si="252"/>
        <v>48476</v>
      </c>
      <c r="I247" s="109"/>
      <c r="J247" s="106">
        <f t="shared" si="255"/>
        <v>48476</v>
      </c>
      <c r="K247" s="110"/>
      <c r="L247" s="106">
        <f t="shared" si="256"/>
        <v>48476</v>
      </c>
      <c r="M247" s="109"/>
      <c r="N247" s="106">
        <f t="shared" si="257"/>
        <v>48476</v>
      </c>
      <c r="O247" s="106"/>
      <c r="P247" s="106">
        <f t="shared" si="257"/>
        <v>48476</v>
      </c>
      <c r="Q247" s="109"/>
      <c r="R247" s="106">
        <f t="shared" si="257"/>
        <v>48476</v>
      </c>
      <c r="S247" s="109"/>
      <c r="T247" s="106">
        <f t="shared" si="258"/>
        <v>48476</v>
      </c>
      <c r="U247" s="202">
        <v>0</v>
      </c>
      <c r="V247" s="106">
        <f t="shared" si="259"/>
        <v>48476</v>
      </c>
      <c r="W247" s="202">
        <v>0</v>
      </c>
      <c r="X247" s="106">
        <f t="shared" si="260"/>
        <v>48476</v>
      </c>
      <c r="Y247" s="202">
        <v>0</v>
      </c>
      <c r="Z247" s="106">
        <f t="shared" si="261"/>
        <v>48476</v>
      </c>
      <c r="AA247" s="202">
        <v>0</v>
      </c>
      <c r="AB247" s="106">
        <f t="shared" si="262"/>
        <v>48476</v>
      </c>
      <c r="AC247" s="202">
        <v>0</v>
      </c>
      <c r="AD247" s="106">
        <f t="shared" si="263"/>
        <v>48476</v>
      </c>
      <c r="AE247" s="202">
        <v>0</v>
      </c>
      <c r="AF247" s="106">
        <f t="shared" si="264"/>
        <v>48476</v>
      </c>
      <c r="AG247" s="196">
        <v>0</v>
      </c>
      <c r="AH247" s="106">
        <f t="shared" si="265"/>
        <v>48476</v>
      </c>
      <c r="AI247" s="202">
        <v>0</v>
      </c>
      <c r="AJ247" s="106">
        <f t="shared" si="266"/>
        <v>48476</v>
      </c>
      <c r="AK247" s="202">
        <v>0</v>
      </c>
      <c r="AL247" s="106">
        <f t="shared" si="267"/>
        <v>48476</v>
      </c>
      <c r="AM247" s="202">
        <v>0</v>
      </c>
      <c r="AN247" s="106">
        <f t="shared" si="268"/>
        <v>48476</v>
      </c>
      <c r="AO247" s="106">
        <v>46832</v>
      </c>
      <c r="AP247" s="113">
        <v>32815</v>
      </c>
      <c r="AQ247" s="243">
        <f>49961+30744</f>
        <v>80705</v>
      </c>
      <c r="AR247" s="275"/>
      <c r="AS247" s="244">
        <f t="shared" si="231"/>
        <v>80705</v>
      </c>
      <c r="AT247" s="103"/>
      <c r="AU247" s="159">
        <f t="shared" si="250"/>
        <v>1.8445451775102848</v>
      </c>
      <c r="AV247" s="103">
        <f>AN247*101%</f>
        <v>48960.76</v>
      </c>
    </row>
    <row r="248" spans="1:48" ht="12.75" hidden="1">
      <c r="A248" s="21"/>
      <c r="B248" s="27">
        <v>4040</v>
      </c>
      <c r="C248" s="18" t="s">
        <v>38</v>
      </c>
      <c r="D248" s="104">
        <v>3670</v>
      </c>
      <c r="E248" s="106"/>
      <c r="F248" s="106">
        <f t="shared" si="251"/>
        <v>3670</v>
      </c>
      <c r="G248" s="109"/>
      <c r="H248" s="106">
        <f t="shared" si="252"/>
        <v>3670</v>
      </c>
      <c r="I248" s="109"/>
      <c r="J248" s="106">
        <f t="shared" si="255"/>
        <v>3670</v>
      </c>
      <c r="K248" s="110"/>
      <c r="L248" s="106">
        <f t="shared" si="256"/>
        <v>3670</v>
      </c>
      <c r="M248" s="109"/>
      <c r="N248" s="106">
        <f t="shared" si="257"/>
        <v>3670</v>
      </c>
      <c r="O248" s="106"/>
      <c r="P248" s="106">
        <f t="shared" si="257"/>
        <v>3670</v>
      </c>
      <c r="Q248" s="109"/>
      <c r="R248" s="106">
        <f t="shared" si="257"/>
        <v>3670</v>
      </c>
      <c r="S248" s="109"/>
      <c r="T248" s="106">
        <f t="shared" si="258"/>
        <v>3670</v>
      </c>
      <c r="U248" s="109"/>
      <c r="V248" s="106">
        <f t="shared" si="259"/>
        <v>3670</v>
      </c>
      <c r="W248" s="109"/>
      <c r="X248" s="106">
        <f t="shared" si="260"/>
        <v>3670</v>
      </c>
      <c r="Y248" s="109"/>
      <c r="Z248" s="106">
        <f t="shared" si="261"/>
        <v>3670</v>
      </c>
      <c r="AA248" s="109"/>
      <c r="AB248" s="106">
        <f t="shared" si="262"/>
        <v>3670</v>
      </c>
      <c r="AC248" s="109"/>
      <c r="AD248" s="106">
        <f t="shared" si="263"/>
        <v>3670</v>
      </c>
      <c r="AE248" s="109"/>
      <c r="AF248" s="106">
        <f t="shared" si="264"/>
        <v>3670</v>
      </c>
      <c r="AG248" s="147"/>
      <c r="AH248" s="106">
        <f t="shared" si="265"/>
        <v>3670</v>
      </c>
      <c r="AI248" s="109"/>
      <c r="AJ248" s="106">
        <f t="shared" si="266"/>
        <v>3670</v>
      </c>
      <c r="AK248" s="109"/>
      <c r="AL248" s="106">
        <f t="shared" si="267"/>
        <v>3670</v>
      </c>
      <c r="AM248" s="109"/>
      <c r="AN248" s="106">
        <f t="shared" si="268"/>
        <v>3670</v>
      </c>
      <c r="AO248" s="106">
        <v>3137</v>
      </c>
      <c r="AP248" s="113">
        <v>3609</v>
      </c>
      <c r="AQ248" s="243">
        <f>4500+2613</f>
        <v>7113</v>
      </c>
      <c r="AR248" s="275"/>
      <c r="AS248" s="244">
        <f t="shared" si="231"/>
        <v>7113</v>
      </c>
      <c r="AT248" s="103"/>
      <c r="AU248" s="159">
        <f t="shared" si="250"/>
        <v>1.4781795511221945</v>
      </c>
      <c r="AV248" s="103">
        <f t="shared" si="253"/>
        <v>4812</v>
      </c>
    </row>
    <row r="249" spans="1:48" ht="12.75" hidden="1">
      <c r="A249" s="21"/>
      <c r="B249" s="27">
        <v>4110</v>
      </c>
      <c r="C249" s="18" t="s">
        <v>39</v>
      </c>
      <c r="D249" s="104">
        <v>8375</v>
      </c>
      <c r="E249" s="106"/>
      <c r="F249" s="106">
        <f t="shared" si="251"/>
        <v>8375</v>
      </c>
      <c r="G249" s="109"/>
      <c r="H249" s="106">
        <f t="shared" si="252"/>
        <v>8375</v>
      </c>
      <c r="I249" s="109"/>
      <c r="J249" s="106">
        <f t="shared" si="255"/>
        <v>8375</v>
      </c>
      <c r="K249" s="110"/>
      <c r="L249" s="106">
        <f t="shared" si="256"/>
        <v>8375</v>
      </c>
      <c r="M249" s="109"/>
      <c r="N249" s="106">
        <f t="shared" si="257"/>
        <v>8375</v>
      </c>
      <c r="O249" s="106"/>
      <c r="P249" s="106">
        <f t="shared" si="257"/>
        <v>8375</v>
      </c>
      <c r="Q249" s="109"/>
      <c r="R249" s="106">
        <f t="shared" si="257"/>
        <v>8375</v>
      </c>
      <c r="S249" s="109"/>
      <c r="T249" s="106">
        <f t="shared" si="258"/>
        <v>8375</v>
      </c>
      <c r="U249" s="109"/>
      <c r="V249" s="106">
        <f t="shared" si="259"/>
        <v>8375</v>
      </c>
      <c r="W249" s="109"/>
      <c r="X249" s="106">
        <f t="shared" si="260"/>
        <v>8375</v>
      </c>
      <c r="Y249" s="109"/>
      <c r="Z249" s="106">
        <f t="shared" si="261"/>
        <v>8375</v>
      </c>
      <c r="AA249" s="109"/>
      <c r="AB249" s="106">
        <f t="shared" si="262"/>
        <v>8375</v>
      </c>
      <c r="AC249" s="109"/>
      <c r="AD249" s="106">
        <f t="shared" si="263"/>
        <v>8375</v>
      </c>
      <c r="AE249" s="109"/>
      <c r="AF249" s="106">
        <f t="shared" si="264"/>
        <v>8375</v>
      </c>
      <c r="AG249" s="147"/>
      <c r="AH249" s="106">
        <f t="shared" si="265"/>
        <v>8375</v>
      </c>
      <c r="AI249" s="109"/>
      <c r="AJ249" s="106">
        <f t="shared" si="266"/>
        <v>8375</v>
      </c>
      <c r="AK249" s="109"/>
      <c r="AL249" s="106">
        <f t="shared" si="267"/>
        <v>8375</v>
      </c>
      <c r="AM249" s="109"/>
      <c r="AN249" s="106">
        <f t="shared" si="268"/>
        <v>8375</v>
      </c>
      <c r="AO249" s="106">
        <v>7269</v>
      </c>
      <c r="AP249" s="113">
        <v>4949</v>
      </c>
      <c r="AQ249" s="243">
        <f>9393+9377</f>
        <v>18770</v>
      </c>
      <c r="AR249" s="275"/>
      <c r="AS249" s="244">
        <f t="shared" si="231"/>
        <v>18770</v>
      </c>
      <c r="AT249" s="103"/>
      <c r="AU249" s="159">
        <f t="shared" si="250"/>
        <v>2.8445140432410585</v>
      </c>
      <c r="AV249" s="103">
        <f t="shared" si="253"/>
        <v>6598.666666666667</v>
      </c>
    </row>
    <row r="250" spans="1:48" ht="12.75" hidden="1">
      <c r="A250" s="21"/>
      <c r="B250" s="27">
        <v>4120</v>
      </c>
      <c r="C250" s="18" t="s">
        <v>40</v>
      </c>
      <c r="D250" s="104">
        <v>1278</v>
      </c>
      <c r="E250" s="106"/>
      <c r="F250" s="106">
        <f t="shared" si="251"/>
        <v>1278</v>
      </c>
      <c r="G250" s="109"/>
      <c r="H250" s="106">
        <f t="shared" si="252"/>
        <v>1278</v>
      </c>
      <c r="I250" s="109"/>
      <c r="J250" s="106">
        <f t="shared" si="255"/>
        <v>1278</v>
      </c>
      <c r="K250" s="110"/>
      <c r="L250" s="106">
        <f t="shared" si="256"/>
        <v>1278</v>
      </c>
      <c r="M250" s="109"/>
      <c r="N250" s="106">
        <f t="shared" si="257"/>
        <v>1278</v>
      </c>
      <c r="O250" s="106"/>
      <c r="P250" s="106">
        <f t="shared" si="257"/>
        <v>1278</v>
      </c>
      <c r="Q250" s="109"/>
      <c r="R250" s="106">
        <f t="shared" si="257"/>
        <v>1278</v>
      </c>
      <c r="S250" s="109"/>
      <c r="T250" s="106">
        <f t="shared" si="258"/>
        <v>1278</v>
      </c>
      <c r="U250" s="109"/>
      <c r="V250" s="106">
        <f t="shared" si="259"/>
        <v>1278</v>
      </c>
      <c r="W250" s="109"/>
      <c r="X250" s="106">
        <f t="shared" si="260"/>
        <v>1278</v>
      </c>
      <c r="Y250" s="109"/>
      <c r="Z250" s="106">
        <f t="shared" si="261"/>
        <v>1278</v>
      </c>
      <c r="AA250" s="109"/>
      <c r="AB250" s="106">
        <f t="shared" si="262"/>
        <v>1278</v>
      </c>
      <c r="AC250" s="109"/>
      <c r="AD250" s="106">
        <f t="shared" si="263"/>
        <v>1278</v>
      </c>
      <c r="AE250" s="109"/>
      <c r="AF250" s="106">
        <f t="shared" si="264"/>
        <v>1278</v>
      </c>
      <c r="AG250" s="147"/>
      <c r="AH250" s="106">
        <f t="shared" si="265"/>
        <v>1278</v>
      </c>
      <c r="AI250" s="109"/>
      <c r="AJ250" s="106">
        <f t="shared" si="266"/>
        <v>1278</v>
      </c>
      <c r="AK250" s="109"/>
      <c r="AL250" s="106">
        <f t="shared" si="267"/>
        <v>1278</v>
      </c>
      <c r="AM250" s="109"/>
      <c r="AN250" s="106">
        <f t="shared" si="268"/>
        <v>1278</v>
      </c>
      <c r="AO250" s="106">
        <v>1200</v>
      </c>
      <c r="AP250" s="113">
        <v>706</v>
      </c>
      <c r="AQ250" s="243">
        <f>1445+1521</f>
        <v>2966</v>
      </c>
      <c r="AR250" s="275"/>
      <c r="AS250" s="244">
        <f t="shared" si="231"/>
        <v>2966</v>
      </c>
      <c r="AT250" s="103"/>
      <c r="AU250" s="159">
        <f t="shared" si="250"/>
        <v>3.15084985835694</v>
      </c>
      <c r="AV250" s="103">
        <f t="shared" si="253"/>
        <v>941.3333333333334</v>
      </c>
    </row>
    <row r="251" spans="1:48" ht="12.75" hidden="1">
      <c r="A251" s="21"/>
      <c r="B251" s="27">
        <v>4210</v>
      </c>
      <c r="C251" s="18" t="s">
        <v>14</v>
      </c>
      <c r="D251" s="104">
        <v>25000</v>
      </c>
      <c r="E251" s="106"/>
      <c r="F251" s="106">
        <f t="shared" si="251"/>
        <v>25000</v>
      </c>
      <c r="G251" s="109"/>
      <c r="H251" s="106">
        <f t="shared" si="252"/>
        <v>25000</v>
      </c>
      <c r="I251" s="109"/>
      <c r="J251" s="106">
        <f t="shared" si="255"/>
        <v>25000</v>
      </c>
      <c r="K251" s="110"/>
      <c r="L251" s="106">
        <f t="shared" si="256"/>
        <v>25000</v>
      </c>
      <c r="M251" s="109"/>
      <c r="N251" s="106">
        <f t="shared" si="257"/>
        <v>25000</v>
      </c>
      <c r="O251" s="106"/>
      <c r="P251" s="106">
        <f t="shared" si="257"/>
        <v>25000</v>
      </c>
      <c r="Q251" s="109"/>
      <c r="R251" s="106">
        <f t="shared" si="257"/>
        <v>25000</v>
      </c>
      <c r="S251" s="109"/>
      <c r="T251" s="106">
        <f t="shared" si="258"/>
        <v>25000</v>
      </c>
      <c r="U251" s="109"/>
      <c r="V251" s="106">
        <f t="shared" si="259"/>
        <v>25000</v>
      </c>
      <c r="W251" s="109"/>
      <c r="X251" s="106">
        <f t="shared" si="260"/>
        <v>25000</v>
      </c>
      <c r="Y251" s="109"/>
      <c r="Z251" s="106">
        <f t="shared" si="261"/>
        <v>25000</v>
      </c>
      <c r="AA251" s="109"/>
      <c r="AB251" s="106">
        <f t="shared" si="262"/>
        <v>25000</v>
      </c>
      <c r="AC251" s="109"/>
      <c r="AD251" s="106">
        <f t="shared" si="263"/>
        <v>25000</v>
      </c>
      <c r="AE251" s="109"/>
      <c r="AF251" s="106">
        <f t="shared" si="264"/>
        <v>25000</v>
      </c>
      <c r="AG251" s="147"/>
      <c r="AH251" s="106">
        <f t="shared" si="265"/>
        <v>25000</v>
      </c>
      <c r="AI251" s="109"/>
      <c r="AJ251" s="106">
        <f t="shared" si="266"/>
        <v>25000</v>
      </c>
      <c r="AK251" s="109"/>
      <c r="AL251" s="106">
        <f t="shared" si="267"/>
        <v>25000</v>
      </c>
      <c r="AM251" s="109"/>
      <c r="AN251" s="106">
        <f t="shared" si="268"/>
        <v>25000</v>
      </c>
      <c r="AO251" s="106">
        <v>17844</v>
      </c>
      <c r="AP251" s="113">
        <v>9266</v>
      </c>
      <c r="AQ251" s="243">
        <f>25000+12000</f>
        <v>37000</v>
      </c>
      <c r="AR251" s="275"/>
      <c r="AS251" s="244">
        <f t="shared" si="231"/>
        <v>37000</v>
      </c>
      <c r="AT251" s="103"/>
      <c r="AU251" s="159">
        <f t="shared" si="250"/>
        <v>2.994819771206562</v>
      </c>
      <c r="AV251" s="103">
        <f t="shared" si="253"/>
        <v>12354.666666666666</v>
      </c>
    </row>
    <row r="252" spans="1:48" ht="12.75" hidden="1">
      <c r="A252" s="21"/>
      <c r="B252" s="27">
        <v>4270</v>
      </c>
      <c r="C252" s="18" t="s">
        <v>24</v>
      </c>
      <c r="D252" s="104">
        <v>15000</v>
      </c>
      <c r="E252" s="106"/>
      <c r="F252" s="106">
        <f t="shared" si="251"/>
        <v>15000</v>
      </c>
      <c r="G252" s="109"/>
      <c r="H252" s="106">
        <f t="shared" si="252"/>
        <v>15000</v>
      </c>
      <c r="I252" s="109"/>
      <c r="J252" s="106">
        <f t="shared" si="255"/>
        <v>15000</v>
      </c>
      <c r="K252" s="110"/>
      <c r="L252" s="106">
        <f t="shared" si="256"/>
        <v>15000</v>
      </c>
      <c r="M252" s="109"/>
      <c r="N252" s="106">
        <f t="shared" si="257"/>
        <v>15000</v>
      </c>
      <c r="O252" s="106"/>
      <c r="P252" s="106">
        <f t="shared" si="257"/>
        <v>15000</v>
      </c>
      <c r="Q252" s="109"/>
      <c r="R252" s="106">
        <f t="shared" si="257"/>
        <v>15000</v>
      </c>
      <c r="S252" s="109"/>
      <c r="T252" s="106">
        <f t="shared" si="258"/>
        <v>15000</v>
      </c>
      <c r="U252" s="109"/>
      <c r="V252" s="106">
        <f t="shared" si="259"/>
        <v>15000</v>
      </c>
      <c r="W252" s="109"/>
      <c r="X252" s="106">
        <f t="shared" si="260"/>
        <v>15000</v>
      </c>
      <c r="Y252" s="109"/>
      <c r="Z252" s="106">
        <f t="shared" si="261"/>
        <v>15000</v>
      </c>
      <c r="AA252" s="109"/>
      <c r="AB252" s="106">
        <f t="shared" si="262"/>
        <v>15000</v>
      </c>
      <c r="AC252" s="109"/>
      <c r="AD252" s="106">
        <f t="shared" si="263"/>
        <v>15000</v>
      </c>
      <c r="AE252" s="109"/>
      <c r="AF252" s="106">
        <f t="shared" si="264"/>
        <v>15000</v>
      </c>
      <c r="AG252" s="147">
        <v>-10000</v>
      </c>
      <c r="AH252" s="106">
        <f t="shared" si="265"/>
        <v>5000</v>
      </c>
      <c r="AI252" s="109"/>
      <c r="AJ252" s="106">
        <f t="shared" si="266"/>
        <v>5000</v>
      </c>
      <c r="AK252" s="109"/>
      <c r="AL252" s="106">
        <f t="shared" si="267"/>
        <v>5000</v>
      </c>
      <c r="AM252" s="109"/>
      <c r="AN252" s="106">
        <f t="shared" si="268"/>
        <v>5000</v>
      </c>
      <c r="AO252" s="106">
        <v>0</v>
      </c>
      <c r="AP252" s="113">
        <v>3539</v>
      </c>
      <c r="AQ252" s="243">
        <f>6000+2000</f>
        <v>8000</v>
      </c>
      <c r="AR252" s="275"/>
      <c r="AS252" s="244">
        <f t="shared" si="231"/>
        <v>8000</v>
      </c>
      <c r="AT252" s="103"/>
      <c r="AU252" s="159">
        <f t="shared" si="250"/>
        <v>1.6953941791466516</v>
      </c>
      <c r="AV252" s="103"/>
    </row>
    <row r="253" spans="1:48" ht="12.75" hidden="1">
      <c r="A253" s="21"/>
      <c r="B253" s="27">
        <v>4280</v>
      </c>
      <c r="C253" s="18" t="s">
        <v>44</v>
      </c>
      <c r="D253" s="104">
        <v>300</v>
      </c>
      <c r="E253" s="106"/>
      <c r="F253" s="106">
        <f t="shared" si="251"/>
        <v>300</v>
      </c>
      <c r="G253" s="109"/>
      <c r="H253" s="106">
        <f t="shared" si="252"/>
        <v>300</v>
      </c>
      <c r="I253" s="109"/>
      <c r="J253" s="106">
        <f t="shared" si="255"/>
        <v>300</v>
      </c>
      <c r="K253" s="110"/>
      <c r="L253" s="106">
        <f t="shared" si="256"/>
        <v>300</v>
      </c>
      <c r="M253" s="109"/>
      <c r="N253" s="106">
        <f t="shared" si="257"/>
        <v>300</v>
      </c>
      <c r="O253" s="106"/>
      <c r="P253" s="106">
        <f t="shared" si="257"/>
        <v>300</v>
      </c>
      <c r="Q253" s="109"/>
      <c r="R253" s="106">
        <f t="shared" si="257"/>
        <v>300</v>
      </c>
      <c r="S253" s="109"/>
      <c r="T253" s="106">
        <f t="shared" si="258"/>
        <v>300</v>
      </c>
      <c r="U253" s="109"/>
      <c r="V253" s="106">
        <f t="shared" si="259"/>
        <v>300</v>
      </c>
      <c r="W253" s="109"/>
      <c r="X253" s="106">
        <f t="shared" si="260"/>
        <v>300</v>
      </c>
      <c r="Y253" s="109"/>
      <c r="Z253" s="106">
        <f t="shared" si="261"/>
        <v>300</v>
      </c>
      <c r="AA253" s="109"/>
      <c r="AB253" s="106">
        <f t="shared" si="262"/>
        <v>300</v>
      </c>
      <c r="AC253" s="109"/>
      <c r="AD253" s="106">
        <f t="shared" si="263"/>
        <v>300</v>
      </c>
      <c r="AE253" s="109"/>
      <c r="AF253" s="106">
        <f t="shared" si="264"/>
        <v>300</v>
      </c>
      <c r="AG253" s="147"/>
      <c r="AH253" s="106">
        <f t="shared" si="265"/>
        <v>300</v>
      </c>
      <c r="AI253" s="109"/>
      <c r="AJ253" s="106">
        <f t="shared" si="266"/>
        <v>300</v>
      </c>
      <c r="AK253" s="109"/>
      <c r="AL253" s="106">
        <f t="shared" si="267"/>
        <v>300</v>
      </c>
      <c r="AM253" s="109"/>
      <c r="AN253" s="106">
        <f t="shared" si="268"/>
        <v>300</v>
      </c>
      <c r="AO253" s="106">
        <v>0</v>
      </c>
      <c r="AP253" s="113">
        <v>191</v>
      </c>
      <c r="AQ253" s="243">
        <v>300</v>
      </c>
      <c r="AR253" s="275"/>
      <c r="AS253" s="244">
        <f t="shared" si="231"/>
        <v>300</v>
      </c>
      <c r="AT253" s="103"/>
      <c r="AU253" s="159">
        <f t="shared" si="250"/>
        <v>1.1780104712041886</v>
      </c>
      <c r="AV253" s="103"/>
    </row>
    <row r="254" spans="1:48" ht="12.75" hidden="1">
      <c r="A254" s="21"/>
      <c r="B254" s="27">
        <v>4300</v>
      </c>
      <c r="C254" s="18" t="s">
        <v>15</v>
      </c>
      <c r="D254" s="104">
        <v>333000</v>
      </c>
      <c r="E254" s="106"/>
      <c r="F254" s="106">
        <f t="shared" si="251"/>
        <v>333000</v>
      </c>
      <c r="G254" s="109"/>
      <c r="H254" s="106">
        <f t="shared" si="252"/>
        <v>333000</v>
      </c>
      <c r="I254" s="109"/>
      <c r="J254" s="106">
        <f t="shared" si="255"/>
        <v>333000</v>
      </c>
      <c r="K254" s="110"/>
      <c r="L254" s="106">
        <f t="shared" si="256"/>
        <v>333000</v>
      </c>
      <c r="M254" s="109"/>
      <c r="N254" s="106">
        <f t="shared" si="257"/>
        <v>333000</v>
      </c>
      <c r="O254" s="106"/>
      <c r="P254" s="106">
        <f t="shared" si="257"/>
        <v>333000</v>
      </c>
      <c r="Q254" s="109"/>
      <c r="R254" s="106">
        <f t="shared" si="257"/>
        <v>333000</v>
      </c>
      <c r="S254" s="109"/>
      <c r="T254" s="106">
        <f t="shared" si="258"/>
        <v>333000</v>
      </c>
      <c r="U254" s="202">
        <v>0</v>
      </c>
      <c r="V254" s="106">
        <f t="shared" si="259"/>
        <v>333000</v>
      </c>
      <c r="W254" s="202">
        <v>0</v>
      </c>
      <c r="X254" s="106">
        <f t="shared" si="260"/>
        <v>333000</v>
      </c>
      <c r="Y254" s="202">
        <v>0</v>
      </c>
      <c r="Z254" s="106">
        <f t="shared" si="261"/>
        <v>333000</v>
      </c>
      <c r="AA254" s="172"/>
      <c r="AB254" s="106">
        <f t="shared" si="262"/>
        <v>333000</v>
      </c>
      <c r="AC254" s="172"/>
      <c r="AD254" s="106">
        <f t="shared" si="263"/>
        <v>333000</v>
      </c>
      <c r="AE254" s="172"/>
      <c r="AF254" s="106">
        <f t="shared" si="264"/>
        <v>333000</v>
      </c>
      <c r="AG254" s="198">
        <f>42000+10000</f>
        <v>52000</v>
      </c>
      <c r="AH254" s="106">
        <f t="shared" si="265"/>
        <v>385000</v>
      </c>
      <c r="AI254" s="172"/>
      <c r="AJ254" s="106">
        <f t="shared" si="266"/>
        <v>385000</v>
      </c>
      <c r="AK254" s="172"/>
      <c r="AL254" s="106">
        <f t="shared" si="267"/>
        <v>385000</v>
      </c>
      <c r="AM254" s="172"/>
      <c r="AN254" s="106">
        <f t="shared" si="268"/>
        <v>385000</v>
      </c>
      <c r="AO254" s="106">
        <v>355352</v>
      </c>
      <c r="AP254" s="113">
        <v>233269</v>
      </c>
      <c r="AQ254" s="243">
        <f>452000-5521+5000-50000</f>
        <v>401479</v>
      </c>
      <c r="AR254" s="275"/>
      <c r="AS254" s="244">
        <f t="shared" si="231"/>
        <v>401479</v>
      </c>
      <c r="AT254" s="103"/>
      <c r="AU254" s="159">
        <f t="shared" si="250"/>
        <v>1.2908241129339948</v>
      </c>
      <c r="AV254" s="103"/>
    </row>
    <row r="255" spans="1:48" ht="25.5" hidden="1">
      <c r="A255" s="21"/>
      <c r="B255" s="27">
        <v>4360</v>
      </c>
      <c r="C255" s="18" t="s">
        <v>46</v>
      </c>
      <c r="D255" s="104">
        <v>1000</v>
      </c>
      <c r="E255" s="106"/>
      <c r="F255" s="106">
        <f t="shared" si="251"/>
        <v>1000</v>
      </c>
      <c r="G255" s="109"/>
      <c r="H255" s="106">
        <f t="shared" si="252"/>
        <v>1000</v>
      </c>
      <c r="I255" s="109"/>
      <c r="J255" s="106">
        <f t="shared" si="255"/>
        <v>1000</v>
      </c>
      <c r="K255" s="110"/>
      <c r="L255" s="106">
        <f t="shared" si="256"/>
        <v>1000</v>
      </c>
      <c r="M255" s="109"/>
      <c r="N255" s="106">
        <f t="shared" si="257"/>
        <v>1000</v>
      </c>
      <c r="O255" s="106"/>
      <c r="P255" s="106">
        <f t="shared" si="257"/>
        <v>1000</v>
      </c>
      <c r="Q255" s="109"/>
      <c r="R255" s="106">
        <f t="shared" si="257"/>
        <v>1000</v>
      </c>
      <c r="S255" s="109"/>
      <c r="T255" s="106">
        <f t="shared" si="258"/>
        <v>1000</v>
      </c>
      <c r="U255" s="109"/>
      <c r="V255" s="106">
        <f t="shared" si="259"/>
        <v>1000</v>
      </c>
      <c r="W255" s="109"/>
      <c r="X255" s="106">
        <f t="shared" si="260"/>
        <v>1000</v>
      </c>
      <c r="Y255" s="109"/>
      <c r="Z255" s="106">
        <f t="shared" si="261"/>
        <v>1000</v>
      </c>
      <c r="AA255" s="109"/>
      <c r="AB255" s="106">
        <f t="shared" si="262"/>
        <v>1000</v>
      </c>
      <c r="AC255" s="109"/>
      <c r="AD255" s="106">
        <f t="shared" si="263"/>
        <v>1000</v>
      </c>
      <c r="AE255" s="109"/>
      <c r="AF255" s="106">
        <f t="shared" si="264"/>
        <v>1000</v>
      </c>
      <c r="AG255" s="196"/>
      <c r="AH255" s="106">
        <f t="shared" si="265"/>
        <v>1000</v>
      </c>
      <c r="AI255" s="202"/>
      <c r="AJ255" s="106">
        <f t="shared" si="266"/>
        <v>1000</v>
      </c>
      <c r="AK255" s="202"/>
      <c r="AL255" s="106">
        <f t="shared" si="267"/>
        <v>1000</v>
      </c>
      <c r="AM255" s="202"/>
      <c r="AN255" s="106">
        <f t="shared" si="268"/>
        <v>1000</v>
      </c>
      <c r="AO255" s="106">
        <v>820</v>
      </c>
      <c r="AP255" s="113">
        <v>447</v>
      </c>
      <c r="AQ255" s="243">
        <v>1000</v>
      </c>
      <c r="AR255" s="275"/>
      <c r="AS255" s="244">
        <f t="shared" si="231"/>
        <v>1000</v>
      </c>
      <c r="AT255" s="103"/>
      <c r="AU255" s="159">
        <f t="shared" si="250"/>
        <v>1.6778523489932886</v>
      </c>
      <c r="AV255" s="103"/>
    </row>
    <row r="256" spans="1:48" ht="12.75" hidden="1">
      <c r="A256" s="21"/>
      <c r="B256" s="27">
        <v>4410</v>
      </c>
      <c r="C256" s="27" t="s">
        <v>48</v>
      </c>
      <c r="D256" s="104">
        <v>300</v>
      </c>
      <c r="E256" s="106"/>
      <c r="F256" s="106">
        <f t="shared" si="251"/>
        <v>300</v>
      </c>
      <c r="G256" s="109"/>
      <c r="H256" s="106">
        <f t="shared" si="252"/>
        <v>300</v>
      </c>
      <c r="I256" s="109"/>
      <c r="J256" s="106">
        <f t="shared" si="255"/>
        <v>300</v>
      </c>
      <c r="K256" s="110"/>
      <c r="L256" s="106">
        <f t="shared" si="256"/>
        <v>300</v>
      </c>
      <c r="M256" s="109"/>
      <c r="N256" s="106">
        <f t="shared" si="257"/>
        <v>300</v>
      </c>
      <c r="O256" s="106"/>
      <c r="P256" s="106">
        <f t="shared" si="257"/>
        <v>300</v>
      </c>
      <c r="Q256" s="109"/>
      <c r="R256" s="106">
        <f t="shared" si="257"/>
        <v>300</v>
      </c>
      <c r="S256" s="109"/>
      <c r="T256" s="106">
        <f t="shared" si="258"/>
        <v>300</v>
      </c>
      <c r="U256" s="109"/>
      <c r="V256" s="106">
        <f t="shared" si="259"/>
        <v>300</v>
      </c>
      <c r="W256" s="109"/>
      <c r="X256" s="106">
        <f t="shared" si="260"/>
        <v>300</v>
      </c>
      <c r="Y256" s="109"/>
      <c r="Z256" s="106">
        <f t="shared" si="261"/>
        <v>300</v>
      </c>
      <c r="AA256" s="109"/>
      <c r="AB256" s="106">
        <f t="shared" si="262"/>
        <v>300</v>
      </c>
      <c r="AC256" s="109"/>
      <c r="AD256" s="106">
        <f t="shared" si="263"/>
        <v>300</v>
      </c>
      <c r="AE256" s="109"/>
      <c r="AF256" s="106">
        <f t="shared" si="264"/>
        <v>300</v>
      </c>
      <c r="AG256" s="147"/>
      <c r="AH256" s="106">
        <f t="shared" si="265"/>
        <v>300</v>
      </c>
      <c r="AI256" s="109"/>
      <c r="AJ256" s="106">
        <f t="shared" si="266"/>
        <v>300</v>
      </c>
      <c r="AK256" s="109"/>
      <c r="AL256" s="106">
        <f t="shared" si="267"/>
        <v>300</v>
      </c>
      <c r="AM256" s="109"/>
      <c r="AN256" s="106">
        <f t="shared" si="268"/>
        <v>300</v>
      </c>
      <c r="AO256" s="106">
        <v>0</v>
      </c>
      <c r="AP256" s="113">
        <v>0</v>
      </c>
      <c r="AQ256" s="243">
        <v>300</v>
      </c>
      <c r="AR256" s="275"/>
      <c r="AS256" s="244">
        <f t="shared" si="231"/>
        <v>300</v>
      </c>
      <c r="AT256" s="103"/>
      <c r="AU256" s="159" t="e">
        <f t="shared" si="250"/>
        <v>#DIV/0!</v>
      </c>
      <c r="AV256" s="103"/>
    </row>
    <row r="257" spans="1:48" ht="12.75" hidden="1">
      <c r="A257" s="21"/>
      <c r="B257" s="27">
        <v>4430</v>
      </c>
      <c r="C257" s="18" t="s">
        <v>16</v>
      </c>
      <c r="D257" s="104">
        <v>1500</v>
      </c>
      <c r="E257" s="106"/>
      <c r="F257" s="106">
        <f t="shared" si="251"/>
        <v>1500</v>
      </c>
      <c r="G257" s="109"/>
      <c r="H257" s="106">
        <f t="shared" si="252"/>
        <v>1500</v>
      </c>
      <c r="I257" s="109"/>
      <c r="J257" s="106">
        <f t="shared" si="255"/>
        <v>1500</v>
      </c>
      <c r="K257" s="110"/>
      <c r="L257" s="106">
        <f t="shared" si="256"/>
        <v>1500</v>
      </c>
      <c r="M257" s="109"/>
      <c r="N257" s="106">
        <f t="shared" si="257"/>
        <v>1500</v>
      </c>
      <c r="O257" s="106"/>
      <c r="P257" s="106">
        <f t="shared" si="257"/>
        <v>1500</v>
      </c>
      <c r="Q257" s="109"/>
      <c r="R257" s="106">
        <f t="shared" si="257"/>
        <v>1500</v>
      </c>
      <c r="S257" s="109"/>
      <c r="T257" s="106">
        <f t="shared" si="258"/>
        <v>1500</v>
      </c>
      <c r="U257" s="109"/>
      <c r="V257" s="106">
        <f t="shared" si="259"/>
        <v>1500</v>
      </c>
      <c r="W257" s="109"/>
      <c r="X257" s="106">
        <f t="shared" si="260"/>
        <v>1500</v>
      </c>
      <c r="Y257" s="109"/>
      <c r="Z257" s="106">
        <f t="shared" si="261"/>
        <v>1500</v>
      </c>
      <c r="AA257" s="109"/>
      <c r="AB257" s="106">
        <f t="shared" si="262"/>
        <v>1500</v>
      </c>
      <c r="AC257" s="109"/>
      <c r="AD257" s="106">
        <f t="shared" si="263"/>
        <v>1500</v>
      </c>
      <c r="AE257" s="109"/>
      <c r="AF257" s="106">
        <f t="shared" si="264"/>
        <v>1500</v>
      </c>
      <c r="AG257" s="147"/>
      <c r="AH257" s="106">
        <f t="shared" si="265"/>
        <v>1500</v>
      </c>
      <c r="AI257" s="109"/>
      <c r="AJ257" s="106">
        <f t="shared" si="266"/>
        <v>1500</v>
      </c>
      <c r="AK257" s="109"/>
      <c r="AL257" s="106">
        <f t="shared" si="267"/>
        <v>1500</v>
      </c>
      <c r="AM257" s="109"/>
      <c r="AN257" s="106">
        <v>3150</v>
      </c>
      <c r="AO257" s="106">
        <v>0</v>
      </c>
      <c r="AP257" s="113">
        <v>1302</v>
      </c>
      <c r="AQ257" s="243">
        <v>3200</v>
      </c>
      <c r="AR257" s="275"/>
      <c r="AS257" s="244">
        <f t="shared" si="231"/>
        <v>3200</v>
      </c>
      <c r="AT257" s="103"/>
      <c r="AU257" s="159">
        <f t="shared" si="250"/>
        <v>1.8433179723502304</v>
      </c>
      <c r="AV257" s="103"/>
    </row>
    <row r="258" spans="1:48" ht="12.75" hidden="1">
      <c r="A258" s="21"/>
      <c r="B258" s="27">
        <v>4440</v>
      </c>
      <c r="C258" s="18" t="s">
        <v>50</v>
      </c>
      <c r="D258" s="104">
        <v>1814</v>
      </c>
      <c r="E258" s="106"/>
      <c r="F258" s="106">
        <f t="shared" si="251"/>
        <v>1814</v>
      </c>
      <c r="G258" s="109"/>
      <c r="H258" s="106">
        <f t="shared" si="252"/>
        <v>1814</v>
      </c>
      <c r="I258" s="109"/>
      <c r="J258" s="106">
        <f t="shared" si="255"/>
        <v>1814</v>
      </c>
      <c r="K258" s="110"/>
      <c r="L258" s="106">
        <f t="shared" si="256"/>
        <v>1814</v>
      </c>
      <c r="M258" s="109"/>
      <c r="N258" s="106">
        <f t="shared" si="257"/>
        <v>1814</v>
      </c>
      <c r="O258" s="106"/>
      <c r="P258" s="106">
        <f t="shared" si="257"/>
        <v>1814</v>
      </c>
      <c r="Q258" s="109"/>
      <c r="R258" s="106">
        <f t="shared" si="257"/>
        <v>1814</v>
      </c>
      <c r="S258" s="109"/>
      <c r="T258" s="106">
        <f t="shared" si="258"/>
        <v>1814</v>
      </c>
      <c r="U258" s="109"/>
      <c r="V258" s="106">
        <f t="shared" si="259"/>
        <v>1814</v>
      </c>
      <c r="W258" s="109"/>
      <c r="X258" s="106">
        <f t="shared" si="260"/>
        <v>1814</v>
      </c>
      <c r="Y258" s="109"/>
      <c r="Z258" s="106">
        <f t="shared" si="261"/>
        <v>1814</v>
      </c>
      <c r="AA258" s="109"/>
      <c r="AB258" s="106">
        <f t="shared" si="262"/>
        <v>1814</v>
      </c>
      <c r="AC258" s="109"/>
      <c r="AD258" s="106">
        <f t="shared" si="263"/>
        <v>1814</v>
      </c>
      <c r="AE258" s="109"/>
      <c r="AF258" s="106">
        <f t="shared" si="264"/>
        <v>1814</v>
      </c>
      <c r="AG258" s="147"/>
      <c r="AH258" s="106">
        <f t="shared" si="265"/>
        <v>1814</v>
      </c>
      <c r="AI258" s="109"/>
      <c r="AJ258" s="106">
        <f t="shared" si="266"/>
        <v>1814</v>
      </c>
      <c r="AK258" s="109"/>
      <c r="AL258" s="106">
        <f t="shared" si="267"/>
        <v>1814</v>
      </c>
      <c r="AM258" s="109"/>
      <c r="AN258" s="106">
        <f t="shared" si="268"/>
        <v>1814</v>
      </c>
      <c r="AO258" s="106">
        <v>1813</v>
      </c>
      <c r="AP258" s="113">
        <v>1814</v>
      </c>
      <c r="AQ258" s="243">
        <v>2001</v>
      </c>
      <c r="AR258" s="275"/>
      <c r="AS258" s="244">
        <f t="shared" si="231"/>
        <v>2001</v>
      </c>
      <c r="AT258" s="103"/>
      <c r="AU258" s="159">
        <f t="shared" si="250"/>
        <v>0.8273153252480706</v>
      </c>
      <c r="AV258" s="103"/>
    </row>
    <row r="259" spans="1:48" ht="12.75" hidden="1">
      <c r="A259" s="21"/>
      <c r="B259" s="27">
        <v>6060</v>
      </c>
      <c r="C259" s="18" t="s">
        <v>61</v>
      </c>
      <c r="D259" s="104">
        <v>0</v>
      </c>
      <c r="E259" s="106"/>
      <c r="F259" s="106">
        <f t="shared" si="251"/>
        <v>0</v>
      </c>
      <c r="G259" s="109"/>
      <c r="H259" s="106">
        <f t="shared" si="252"/>
        <v>0</v>
      </c>
      <c r="I259" s="109"/>
      <c r="J259" s="106">
        <f t="shared" si="255"/>
        <v>0</v>
      </c>
      <c r="K259" s="110"/>
      <c r="L259" s="106">
        <f t="shared" si="256"/>
        <v>0</v>
      </c>
      <c r="M259" s="109"/>
      <c r="N259" s="106">
        <f t="shared" si="257"/>
        <v>0</v>
      </c>
      <c r="O259" s="106"/>
      <c r="P259" s="106">
        <f t="shared" si="257"/>
        <v>0</v>
      </c>
      <c r="Q259" s="109"/>
      <c r="R259" s="106">
        <f t="shared" si="257"/>
        <v>0</v>
      </c>
      <c r="S259" s="109"/>
      <c r="T259" s="106">
        <f t="shared" si="258"/>
        <v>0</v>
      </c>
      <c r="U259" s="109"/>
      <c r="V259" s="106">
        <f t="shared" si="259"/>
        <v>0</v>
      </c>
      <c r="W259" s="109"/>
      <c r="X259" s="106">
        <f t="shared" si="260"/>
        <v>0</v>
      </c>
      <c r="Y259" s="109"/>
      <c r="Z259" s="106">
        <f t="shared" si="261"/>
        <v>0</v>
      </c>
      <c r="AA259" s="109"/>
      <c r="AB259" s="106">
        <f t="shared" si="262"/>
        <v>0</v>
      </c>
      <c r="AC259" s="109"/>
      <c r="AD259" s="106">
        <f t="shared" si="263"/>
        <v>0</v>
      </c>
      <c r="AE259" s="109"/>
      <c r="AF259" s="106">
        <f t="shared" si="264"/>
        <v>0</v>
      </c>
      <c r="AG259" s="147"/>
      <c r="AH259" s="106">
        <f t="shared" si="265"/>
        <v>0</v>
      </c>
      <c r="AI259" s="109"/>
      <c r="AJ259" s="106">
        <f t="shared" si="266"/>
        <v>0</v>
      </c>
      <c r="AK259" s="109"/>
      <c r="AL259" s="106">
        <f t="shared" si="267"/>
        <v>0</v>
      </c>
      <c r="AM259" s="109"/>
      <c r="AN259" s="106">
        <v>0</v>
      </c>
      <c r="AO259" s="106">
        <v>50000</v>
      </c>
      <c r="AP259" s="113">
        <v>0</v>
      </c>
      <c r="AQ259" s="243">
        <v>0</v>
      </c>
      <c r="AR259" s="275"/>
      <c r="AS259" s="244">
        <f t="shared" si="231"/>
        <v>0</v>
      </c>
      <c r="AT259" s="103"/>
      <c r="AU259" s="159" t="e">
        <f t="shared" si="250"/>
        <v>#DIV/0!</v>
      </c>
      <c r="AV259" s="103"/>
    </row>
    <row r="260" spans="1:50" ht="12.75" hidden="1">
      <c r="A260" s="31">
        <v>80114</v>
      </c>
      <c r="B260" s="26"/>
      <c r="C260" s="19" t="s">
        <v>82</v>
      </c>
      <c r="D260" s="190">
        <f aca="true" t="shared" si="269" ref="D260:J260">SUM(D261:D281)</f>
        <v>341312</v>
      </c>
      <c r="E260" s="190">
        <f t="shared" si="269"/>
        <v>0</v>
      </c>
      <c r="F260" s="190">
        <f t="shared" si="269"/>
        <v>341312</v>
      </c>
      <c r="G260" s="190">
        <f t="shared" si="269"/>
        <v>0</v>
      </c>
      <c r="H260" s="190">
        <f t="shared" si="269"/>
        <v>341312</v>
      </c>
      <c r="I260" s="190">
        <f t="shared" si="269"/>
        <v>0</v>
      </c>
      <c r="J260" s="190">
        <f t="shared" si="269"/>
        <v>341312</v>
      </c>
      <c r="K260" s="110"/>
      <c r="L260" s="190">
        <f>SUM(L261:L281)</f>
        <v>341312</v>
      </c>
      <c r="M260" s="109"/>
      <c r="N260" s="190">
        <f>SUM(N261:N281)</f>
        <v>341312</v>
      </c>
      <c r="O260" s="190"/>
      <c r="P260" s="190">
        <f>SUM(P261:P281)</f>
        <v>341312</v>
      </c>
      <c r="Q260" s="109"/>
      <c r="R260" s="190">
        <f>SUM(R261:R281)</f>
        <v>341312</v>
      </c>
      <c r="S260" s="109"/>
      <c r="T260" s="190">
        <f aca="true" t="shared" si="270" ref="T260:Z260">SUM(T261:T281)</f>
        <v>341312</v>
      </c>
      <c r="U260" s="190">
        <f t="shared" si="270"/>
        <v>0</v>
      </c>
      <c r="V260" s="190">
        <f t="shared" si="270"/>
        <v>341312</v>
      </c>
      <c r="W260" s="190">
        <f t="shared" si="270"/>
        <v>0</v>
      </c>
      <c r="X260" s="190">
        <f t="shared" si="270"/>
        <v>341312</v>
      </c>
      <c r="Y260" s="190">
        <f t="shared" si="270"/>
        <v>0</v>
      </c>
      <c r="Z260" s="190">
        <f t="shared" si="270"/>
        <v>341312</v>
      </c>
      <c r="AA260" s="190">
        <f aca="true" t="shared" si="271" ref="AA260:AF260">SUM(AA261:AA281)</f>
        <v>0</v>
      </c>
      <c r="AB260" s="190">
        <f t="shared" si="271"/>
        <v>341312</v>
      </c>
      <c r="AC260" s="190">
        <f t="shared" si="271"/>
        <v>0</v>
      </c>
      <c r="AD260" s="190">
        <f t="shared" si="271"/>
        <v>341312</v>
      </c>
      <c r="AE260" s="190">
        <f t="shared" si="271"/>
        <v>0</v>
      </c>
      <c r="AF260" s="190">
        <f t="shared" si="271"/>
        <v>341312</v>
      </c>
      <c r="AG260" s="191">
        <f aca="true" t="shared" si="272" ref="AG260:AL260">SUM(AG261:AG281)</f>
        <v>0</v>
      </c>
      <c r="AH260" s="190">
        <f t="shared" si="272"/>
        <v>341312</v>
      </c>
      <c r="AI260" s="190">
        <f t="shared" si="272"/>
        <v>0</v>
      </c>
      <c r="AJ260" s="190">
        <f t="shared" si="272"/>
        <v>341312</v>
      </c>
      <c r="AK260" s="190">
        <f t="shared" si="272"/>
        <v>0</v>
      </c>
      <c r="AL260" s="190">
        <f t="shared" si="272"/>
        <v>341312</v>
      </c>
      <c r="AM260" s="190">
        <f>SUM(AM261:AM281)</f>
        <v>0</v>
      </c>
      <c r="AN260" s="190">
        <f>SUM(AN261:AN281)</f>
        <v>339662</v>
      </c>
      <c r="AO260" s="190">
        <f>SUM(AO261:AO281)</f>
        <v>325514</v>
      </c>
      <c r="AP260" s="81">
        <f>SUM(AP261:AP281)</f>
        <v>212361</v>
      </c>
      <c r="AQ260" s="247">
        <f>SUM(AQ261:AQ281)</f>
        <v>346465</v>
      </c>
      <c r="AR260" s="274"/>
      <c r="AS260" s="244">
        <f t="shared" si="231"/>
        <v>346465</v>
      </c>
      <c r="AT260" s="103"/>
      <c r="AU260" s="159">
        <f t="shared" si="250"/>
        <v>1.223618037210222</v>
      </c>
      <c r="AV260" s="103"/>
      <c r="AX260" t="s">
        <v>187</v>
      </c>
    </row>
    <row r="261" spans="1:48" ht="12.75" hidden="1">
      <c r="A261" s="31"/>
      <c r="B261" s="27">
        <v>3020</v>
      </c>
      <c r="C261" s="18" t="s">
        <v>73</v>
      </c>
      <c r="D261" s="104">
        <v>1500</v>
      </c>
      <c r="E261" s="106"/>
      <c r="F261" s="106">
        <f t="shared" si="251"/>
        <v>1500</v>
      </c>
      <c r="G261" s="109"/>
      <c r="H261" s="106">
        <f t="shared" si="252"/>
        <v>1500</v>
      </c>
      <c r="I261" s="109"/>
      <c r="J261" s="106">
        <f aca="true" t="shared" si="273" ref="J261:J281">I261+H261</f>
        <v>1500</v>
      </c>
      <c r="K261" s="110"/>
      <c r="L261" s="106">
        <f aca="true" t="shared" si="274" ref="L261:L281">K261+H261</f>
        <v>1500</v>
      </c>
      <c r="M261" s="109"/>
      <c r="N261" s="106">
        <f aca="true" t="shared" si="275" ref="N261:R281">M261+L261</f>
        <v>1500</v>
      </c>
      <c r="O261" s="106"/>
      <c r="P261" s="106">
        <f t="shared" si="275"/>
        <v>1500</v>
      </c>
      <c r="Q261" s="109"/>
      <c r="R261" s="106">
        <f t="shared" si="275"/>
        <v>1500</v>
      </c>
      <c r="S261" s="109"/>
      <c r="T261" s="106">
        <f aca="true" t="shared" si="276" ref="T261:T281">S261+R261</f>
        <v>1500</v>
      </c>
      <c r="U261" s="109"/>
      <c r="V261" s="106">
        <f aca="true" t="shared" si="277" ref="V261:V281">U261+T261</f>
        <v>1500</v>
      </c>
      <c r="W261" s="109"/>
      <c r="X261" s="106">
        <f aca="true" t="shared" si="278" ref="X261:X281">W261+V261</f>
        <v>1500</v>
      </c>
      <c r="Y261" s="109"/>
      <c r="Z261" s="106">
        <f aca="true" t="shared" si="279" ref="Z261:Z281">Y261+X261</f>
        <v>1500</v>
      </c>
      <c r="AA261" s="109"/>
      <c r="AB261" s="106">
        <f aca="true" t="shared" si="280" ref="AB261:AB281">AA261+Z261</f>
        <v>1500</v>
      </c>
      <c r="AC261" s="109"/>
      <c r="AD261" s="106">
        <f aca="true" t="shared" si="281" ref="AD261:AD281">AC261+AB261</f>
        <v>1500</v>
      </c>
      <c r="AE261" s="109"/>
      <c r="AF261" s="106">
        <f aca="true" t="shared" si="282" ref="AF261:AF281">AE261+AD261</f>
        <v>1500</v>
      </c>
      <c r="AG261" s="147"/>
      <c r="AH261" s="106">
        <f aca="true" t="shared" si="283" ref="AH261:AH281">AG261+AF261</f>
        <v>1500</v>
      </c>
      <c r="AI261" s="109"/>
      <c r="AJ261" s="106">
        <f aca="true" t="shared" si="284" ref="AJ261:AJ281">AI261+AH261</f>
        <v>1500</v>
      </c>
      <c r="AK261" s="109"/>
      <c r="AL261" s="106">
        <f aca="true" t="shared" si="285" ref="AL261:AL281">AK261+AJ261</f>
        <v>1500</v>
      </c>
      <c r="AM261" s="109"/>
      <c r="AN261" s="106">
        <f aca="true" t="shared" si="286" ref="AN261:AN277">AM261+AL261</f>
        <v>1500</v>
      </c>
      <c r="AO261" s="106">
        <v>712</v>
      </c>
      <c r="AP261" s="113">
        <v>857</v>
      </c>
      <c r="AQ261" s="243">
        <v>2000</v>
      </c>
      <c r="AR261" s="275"/>
      <c r="AS261" s="244">
        <f t="shared" si="231"/>
        <v>2000</v>
      </c>
      <c r="AT261" s="103"/>
      <c r="AU261" s="159">
        <f t="shared" si="250"/>
        <v>1.7502917152858808</v>
      </c>
      <c r="AV261" s="103"/>
    </row>
    <row r="262" spans="1:48" ht="12.75" hidden="1">
      <c r="A262" s="21"/>
      <c r="B262" s="27">
        <v>4010</v>
      </c>
      <c r="C262" s="18" t="s">
        <v>37</v>
      </c>
      <c r="D262" s="104">
        <v>213553</v>
      </c>
      <c r="E262" s="106"/>
      <c r="F262" s="106">
        <f t="shared" si="251"/>
        <v>213553</v>
      </c>
      <c r="G262" s="109"/>
      <c r="H262" s="106">
        <f t="shared" si="252"/>
        <v>213553</v>
      </c>
      <c r="I262" s="109"/>
      <c r="J262" s="106">
        <f t="shared" si="273"/>
        <v>213553</v>
      </c>
      <c r="K262" s="110"/>
      <c r="L262" s="106">
        <f t="shared" si="274"/>
        <v>213553</v>
      </c>
      <c r="M262" s="109"/>
      <c r="N262" s="106">
        <f t="shared" si="275"/>
        <v>213553</v>
      </c>
      <c r="O262" s="106"/>
      <c r="P262" s="106">
        <f t="shared" si="275"/>
        <v>213553</v>
      </c>
      <c r="Q262" s="109"/>
      <c r="R262" s="106">
        <f t="shared" si="275"/>
        <v>213553</v>
      </c>
      <c r="S262" s="109"/>
      <c r="T262" s="106">
        <f t="shared" si="276"/>
        <v>213553</v>
      </c>
      <c r="U262" s="202">
        <v>0</v>
      </c>
      <c r="V262" s="106">
        <f t="shared" si="277"/>
        <v>213553</v>
      </c>
      <c r="W262" s="202">
        <v>0</v>
      </c>
      <c r="X262" s="106">
        <f t="shared" si="278"/>
        <v>213553</v>
      </c>
      <c r="Y262" s="202">
        <v>0</v>
      </c>
      <c r="Z262" s="106">
        <f t="shared" si="279"/>
        <v>213553</v>
      </c>
      <c r="AA262" s="202">
        <v>0</v>
      </c>
      <c r="AB262" s="106">
        <f t="shared" si="280"/>
        <v>213553</v>
      </c>
      <c r="AC262" s="202">
        <v>0</v>
      </c>
      <c r="AD262" s="106">
        <f t="shared" si="281"/>
        <v>213553</v>
      </c>
      <c r="AE262" s="202">
        <v>0</v>
      </c>
      <c r="AF262" s="106">
        <f t="shared" si="282"/>
        <v>213553</v>
      </c>
      <c r="AG262" s="196">
        <v>0</v>
      </c>
      <c r="AH262" s="106">
        <f t="shared" si="283"/>
        <v>213553</v>
      </c>
      <c r="AI262" s="202">
        <v>0</v>
      </c>
      <c r="AJ262" s="106">
        <f t="shared" si="284"/>
        <v>213553</v>
      </c>
      <c r="AK262" s="172">
        <f>5000</f>
        <v>5000</v>
      </c>
      <c r="AL262" s="106">
        <f t="shared" si="285"/>
        <v>218553</v>
      </c>
      <c r="AM262" s="172"/>
      <c r="AN262" s="106">
        <f t="shared" si="286"/>
        <v>218553</v>
      </c>
      <c r="AO262" s="106">
        <v>223476</v>
      </c>
      <c r="AP262" s="113">
        <v>142437</v>
      </c>
      <c r="AQ262" s="243">
        <v>220739</v>
      </c>
      <c r="AR262" s="275"/>
      <c r="AS262" s="244">
        <f t="shared" si="231"/>
        <v>220739</v>
      </c>
      <c r="AT262" s="103"/>
      <c r="AU262" s="159">
        <f t="shared" si="250"/>
        <v>1.1622980686198108</v>
      </c>
      <c r="AV262" s="103">
        <f>AN262*101%</f>
        <v>220738.53</v>
      </c>
    </row>
    <row r="263" spans="1:48" ht="12.75" hidden="1">
      <c r="A263" s="21"/>
      <c r="B263" s="27">
        <v>4040</v>
      </c>
      <c r="C263" s="18" t="s">
        <v>38</v>
      </c>
      <c r="D263" s="104">
        <v>16300</v>
      </c>
      <c r="E263" s="106"/>
      <c r="F263" s="106">
        <f t="shared" si="251"/>
        <v>16300</v>
      </c>
      <c r="G263" s="109"/>
      <c r="H263" s="106">
        <f t="shared" si="252"/>
        <v>16300</v>
      </c>
      <c r="I263" s="109"/>
      <c r="J263" s="106">
        <f t="shared" si="273"/>
        <v>16300</v>
      </c>
      <c r="K263" s="110"/>
      <c r="L263" s="106">
        <f t="shared" si="274"/>
        <v>16300</v>
      </c>
      <c r="M263" s="109"/>
      <c r="N263" s="106">
        <f t="shared" si="275"/>
        <v>16300</v>
      </c>
      <c r="O263" s="106"/>
      <c r="P263" s="106">
        <f t="shared" si="275"/>
        <v>16300</v>
      </c>
      <c r="Q263" s="109"/>
      <c r="R263" s="106">
        <f t="shared" si="275"/>
        <v>16300</v>
      </c>
      <c r="S263" s="109"/>
      <c r="T263" s="106">
        <f t="shared" si="276"/>
        <v>16300</v>
      </c>
      <c r="U263" s="109"/>
      <c r="V263" s="106">
        <f t="shared" si="277"/>
        <v>16300</v>
      </c>
      <c r="W263" s="109"/>
      <c r="X263" s="106">
        <f t="shared" si="278"/>
        <v>16300</v>
      </c>
      <c r="Y263" s="109"/>
      <c r="Z263" s="106">
        <f t="shared" si="279"/>
        <v>16300</v>
      </c>
      <c r="AA263" s="109"/>
      <c r="AB263" s="106">
        <f t="shared" si="280"/>
        <v>16300</v>
      </c>
      <c r="AC263" s="109"/>
      <c r="AD263" s="106">
        <f t="shared" si="281"/>
        <v>16300</v>
      </c>
      <c r="AE263" s="109"/>
      <c r="AF263" s="106">
        <f t="shared" si="282"/>
        <v>16300</v>
      </c>
      <c r="AG263" s="147"/>
      <c r="AH263" s="106">
        <f t="shared" si="283"/>
        <v>16300</v>
      </c>
      <c r="AI263" s="109"/>
      <c r="AJ263" s="106">
        <f t="shared" si="284"/>
        <v>16300</v>
      </c>
      <c r="AK263" s="109"/>
      <c r="AL263" s="106">
        <f t="shared" si="285"/>
        <v>16300</v>
      </c>
      <c r="AM263" s="109"/>
      <c r="AN263" s="106">
        <f t="shared" si="286"/>
        <v>16300</v>
      </c>
      <c r="AO263" s="106">
        <v>14402</v>
      </c>
      <c r="AP263" s="113">
        <v>16088</v>
      </c>
      <c r="AQ263" s="243">
        <f>19300-1500</f>
        <v>17800</v>
      </c>
      <c r="AR263" s="275"/>
      <c r="AS263" s="244">
        <f t="shared" si="231"/>
        <v>17800</v>
      </c>
      <c r="AT263" s="103"/>
      <c r="AU263" s="159">
        <f t="shared" si="250"/>
        <v>0.8298110392839383</v>
      </c>
      <c r="AV263" s="103"/>
    </row>
    <row r="264" spans="1:48" ht="12.75" hidden="1">
      <c r="A264" s="21"/>
      <c r="B264" s="27">
        <v>4110</v>
      </c>
      <c r="C264" s="18" t="s">
        <v>39</v>
      </c>
      <c r="D264" s="104">
        <v>36626</v>
      </c>
      <c r="E264" s="106"/>
      <c r="F264" s="106">
        <f t="shared" si="251"/>
        <v>36626</v>
      </c>
      <c r="G264" s="109"/>
      <c r="H264" s="106">
        <f t="shared" si="252"/>
        <v>36626</v>
      </c>
      <c r="I264" s="109"/>
      <c r="J264" s="106">
        <f t="shared" si="273"/>
        <v>36626</v>
      </c>
      <c r="K264" s="110"/>
      <c r="L264" s="106">
        <f t="shared" si="274"/>
        <v>36626</v>
      </c>
      <c r="M264" s="109"/>
      <c r="N264" s="106">
        <f t="shared" si="275"/>
        <v>36626</v>
      </c>
      <c r="O264" s="106"/>
      <c r="P264" s="106">
        <f t="shared" si="275"/>
        <v>36626</v>
      </c>
      <c r="Q264" s="109"/>
      <c r="R264" s="106">
        <f t="shared" si="275"/>
        <v>36626</v>
      </c>
      <c r="S264" s="109"/>
      <c r="T264" s="106">
        <f t="shared" si="276"/>
        <v>36626</v>
      </c>
      <c r="U264" s="202">
        <v>0</v>
      </c>
      <c r="V264" s="106">
        <f t="shared" si="277"/>
        <v>36626</v>
      </c>
      <c r="W264" s="202">
        <v>0</v>
      </c>
      <c r="X264" s="106">
        <f t="shared" si="278"/>
        <v>36626</v>
      </c>
      <c r="Y264" s="202">
        <v>0</v>
      </c>
      <c r="Z264" s="106">
        <f t="shared" si="279"/>
        <v>36626</v>
      </c>
      <c r="AA264" s="202">
        <v>0</v>
      </c>
      <c r="AB264" s="106">
        <f t="shared" si="280"/>
        <v>36626</v>
      </c>
      <c r="AC264" s="202">
        <v>0</v>
      </c>
      <c r="AD264" s="106">
        <f t="shared" si="281"/>
        <v>36626</v>
      </c>
      <c r="AE264" s="202">
        <v>0</v>
      </c>
      <c r="AF264" s="106">
        <f t="shared" si="282"/>
        <v>36626</v>
      </c>
      <c r="AG264" s="196">
        <v>0</v>
      </c>
      <c r="AH264" s="106">
        <f t="shared" si="283"/>
        <v>36626</v>
      </c>
      <c r="AI264" s="202">
        <v>0</v>
      </c>
      <c r="AJ264" s="106">
        <f t="shared" si="284"/>
        <v>36626</v>
      </c>
      <c r="AK264" s="202">
        <v>0</v>
      </c>
      <c r="AL264" s="106">
        <f t="shared" si="285"/>
        <v>36626</v>
      </c>
      <c r="AM264" s="202"/>
      <c r="AN264" s="106">
        <f t="shared" si="286"/>
        <v>36626</v>
      </c>
      <c r="AO264" s="106">
        <v>31208</v>
      </c>
      <c r="AP264" s="113">
        <v>23261</v>
      </c>
      <c r="AQ264" s="243">
        <f>42489-2500</f>
        <v>39989</v>
      </c>
      <c r="AR264" s="275"/>
      <c r="AS264" s="244">
        <f t="shared" si="231"/>
        <v>39989</v>
      </c>
      <c r="AT264" s="103"/>
      <c r="AU264" s="159">
        <f t="shared" si="250"/>
        <v>1.2893577232277202</v>
      </c>
      <c r="AV264" s="103"/>
    </row>
    <row r="265" spans="1:48" ht="12.75" hidden="1">
      <c r="A265" s="21"/>
      <c r="B265" s="27">
        <v>4120</v>
      </c>
      <c r="C265" s="18" t="s">
        <v>40</v>
      </c>
      <c r="D265" s="104">
        <v>5588</v>
      </c>
      <c r="E265" s="106"/>
      <c r="F265" s="106">
        <f t="shared" si="251"/>
        <v>5588</v>
      </c>
      <c r="G265" s="109"/>
      <c r="H265" s="106">
        <f t="shared" si="252"/>
        <v>5588</v>
      </c>
      <c r="I265" s="109"/>
      <c r="J265" s="106">
        <f t="shared" si="273"/>
        <v>5588</v>
      </c>
      <c r="K265" s="110"/>
      <c r="L265" s="106">
        <f t="shared" si="274"/>
        <v>5588</v>
      </c>
      <c r="M265" s="109"/>
      <c r="N265" s="106">
        <f t="shared" si="275"/>
        <v>5588</v>
      </c>
      <c r="O265" s="106"/>
      <c r="P265" s="106">
        <f t="shared" si="275"/>
        <v>5588</v>
      </c>
      <c r="Q265" s="109"/>
      <c r="R265" s="106">
        <f t="shared" si="275"/>
        <v>5588</v>
      </c>
      <c r="S265" s="109"/>
      <c r="T265" s="106">
        <f t="shared" si="276"/>
        <v>5588</v>
      </c>
      <c r="U265" s="109"/>
      <c r="V265" s="106">
        <f t="shared" si="277"/>
        <v>5588</v>
      </c>
      <c r="W265" s="109"/>
      <c r="X265" s="106">
        <f t="shared" si="278"/>
        <v>5588</v>
      </c>
      <c r="Y265" s="109"/>
      <c r="Z265" s="106">
        <f t="shared" si="279"/>
        <v>5588</v>
      </c>
      <c r="AA265" s="109"/>
      <c r="AB265" s="106">
        <f t="shared" si="280"/>
        <v>5588</v>
      </c>
      <c r="AC265" s="109"/>
      <c r="AD265" s="106">
        <f t="shared" si="281"/>
        <v>5588</v>
      </c>
      <c r="AE265" s="109"/>
      <c r="AF265" s="106">
        <f t="shared" si="282"/>
        <v>5588</v>
      </c>
      <c r="AG265" s="147"/>
      <c r="AH265" s="106">
        <f t="shared" si="283"/>
        <v>5588</v>
      </c>
      <c r="AI265" s="109"/>
      <c r="AJ265" s="106">
        <f t="shared" si="284"/>
        <v>5588</v>
      </c>
      <c r="AK265" s="109"/>
      <c r="AL265" s="106">
        <f t="shared" si="285"/>
        <v>5588</v>
      </c>
      <c r="AM265" s="109"/>
      <c r="AN265" s="106">
        <f t="shared" si="286"/>
        <v>5588</v>
      </c>
      <c r="AO265" s="106">
        <v>5015</v>
      </c>
      <c r="AP265" s="113">
        <v>2680</v>
      </c>
      <c r="AQ265" s="243">
        <v>6535</v>
      </c>
      <c r="AR265" s="275"/>
      <c r="AS265" s="244">
        <f t="shared" si="231"/>
        <v>6535</v>
      </c>
      <c r="AT265" s="103"/>
      <c r="AU265" s="159">
        <f t="shared" si="250"/>
        <v>1.8288246268656716</v>
      </c>
      <c r="AV265" s="103"/>
    </row>
    <row r="266" spans="1:48" ht="12.75" hidden="1">
      <c r="A266" s="21"/>
      <c r="B266" s="27">
        <v>4170</v>
      </c>
      <c r="C266" s="18" t="s">
        <v>42</v>
      </c>
      <c r="D266" s="104">
        <v>5000</v>
      </c>
      <c r="E266" s="106"/>
      <c r="F266" s="106">
        <f t="shared" si="251"/>
        <v>5000</v>
      </c>
      <c r="G266" s="109"/>
      <c r="H266" s="106">
        <f t="shared" si="252"/>
        <v>5000</v>
      </c>
      <c r="I266" s="109"/>
      <c r="J266" s="106">
        <f t="shared" si="273"/>
        <v>5000</v>
      </c>
      <c r="K266" s="110"/>
      <c r="L266" s="106">
        <f t="shared" si="274"/>
        <v>5000</v>
      </c>
      <c r="M266" s="109"/>
      <c r="N266" s="106">
        <f t="shared" si="275"/>
        <v>5000</v>
      </c>
      <c r="O266" s="106"/>
      <c r="P266" s="106">
        <f t="shared" si="275"/>
        <v>5000</v>
      </c>
      <c r="Q266" s="109"/>
      <c r="R266" s="106">
        <f t="shared" si="275"/>
        <v>5000</v>
      </c>
      <c r="S266" s="109"/>
      <c r="T266" s="106">
        <f t="shared" si="276"/>
        <v>5000</v>
      </c>
      <c r="U266" s="109"/>
      <c r="V266" s="106">
        <f t="shared" si="277"/>
        <v>5000</v>
      </c>
      <c r="W266" s="109"/>
      <c r="X266" s="106">
        <f t="shared" si="278"/>
        <v>5000</v>
      </c>
      <c r="Y266" s="109"/>
      <c r="Z266" s="106">
        <f t="shared" si="279"/>
        <v>5000</v>
      </c>
      <c r="AA266" s="109"/>
      <c r="AB266" s="106">
        <f t="shared" si="280"/>
        <v>5000</v>
      </c>
      <c r="AC266" s="109"/>
      <c r="AD266" s="106">
        <f t="shared" si="281"/>
        <v>5000</v>
      </c>
      <c r="AE266" s="109"/>
      <c r="AF266" s="106">
        <f t="shared" si="282"/>
        <v>5000</v>
      </c>
      <c r="AG266" s="147"/>
      <c r="AH266" s="106">
        <f t="shared" si="283"/>
        <v>5000</v>
      </c>
      <c r="AI266" s="109"/>
      <c r="AJ266" s="106">
        <f t="shared" si="284"/>
        <v>5000</v>
      </c>
      <c r="AK266" s="109"/>
      <c r="AL266" s="106">
        <f t="shared" si="285"/>
        <v>5000</v>
      </c>
      <c r="AM266" s="109"/>
      <c r="AN266" s="106">
        <f t="shared" si="286"/>
        <v>5000</v>
      </c>
      <c r="AO266" s="106">
        <v>2451</v>
      </c>
      <c r="AP266" s="113">
        <v>2638</v>
      </c>
      <c r="AQ266" s="243">
        <v>6000</v>
      </c>
      <c r="AR266" s="275"/>
      <c r="AS266" s="244">
        <f t="shared" si="231"/>
        <v>6000</v>
      </c>
      <c r="AT266" s="103"/>
      <c r="AU266" s="159">
        <f t="shared" si="250"/>
        <v>1.7058377558756632</v>
      </c>
      <c r="AV266" s="103"/>
    </row>
    <row r="267" spans="1:48" ht="12.75" hidden="1">
      <c r="A267" s="21"/>
      <c r="B267" s="27">
        <v>4210</v>
      </c>
      <c r="C267" s="18" t="s">
        <v>14</v>
      </c>
      <c r="D267" s="104">
        <v>20000</v>
      </c>
      <c r="E267" s="106">
        <v>-1000</v>
      </c>
      <c r="F267" s="106">
        <f t="shared" si="251"/>
        <v>19000</v>
      </c>
      <c r="G267" s="109"/>
      <c r="H267" s="106">
        <f t="shared" si="252"/>
        <v>19000</v>
      </c>
      <c r="I267" s="109"/>
      <c r="J267" s="106">
        <f t="shared" si="273"/>
        <v>19000</v>
      </c>
      <c r="K267" s="110"/>
      <c r="L267" s="106">
        <f t="shared" si="274"/>
        <v>19000</v>
      </c>
      <c r="M267" s="109"/>
      <c r="N267" s="106">
        <f t="shared" si="275"/>
        <v>19000</v>
      </c>
      <c r="O267" s="106"/>
      <c r="P267" s="106">
        <f t="shared" si="275"/>
        <v>19000</v>
      </c>
      <c r="Q267" s="109"/>
      <c r="R267" s="106">
        <f t="shared" si="275"/>
        <v>19000</v>
      </c>
      <c r="S267" s="109"/>
      <c r="T267" s="106">
        <f t="shared" si="276"/>
        <v>19000</v>
      </c>
      <c r="U267" s="109"/>
      <c r="V267" s="106">
        <f t="shared" si="277"/>
        <v>19000</v>
      </c>
      <c r="W267" s="109"/>
      <c r="X267" s="106">
        <f t="shared" si="278"/>
        <v>19000</v>
      </c>
      <c r="Y267" s="109"/>
      <c r="Z267" s="106">
        <f t="shared" si="279"/>
        <v>19000</v>
      </c>
      <c r="AA267" s="109"/>
      <c r="AB267" s="106">
        <f t="shared" si="280"/>
        <v>19000</v>
      </c>
      <c r="AC267" s="109"/>
      <c r="AD267" s="106">
        <f t="shared" si="281"/>
        <v>19000</v>
      </c>
      <c r="AE267" s="109"/>
      <c r="AF267" s="106">
        <f t="shared" si="282"/>
        <v>19000</v>
      </c>
      <c r="AG267" s="147"/>
      <c r="AH267" s="106">
        <f t="shared" si="283"/>
        <v>19000</v>
      </c>
      <c r="AI267" s="109"/>
      <c r="AJ267" s="106">
        <f t="shared" si="284"/>
        <v>19000</v>
      </c>
      <c r="AK267" s="109">
        <v>-5000</v>
      </c>
      <c r="AL267" s="106">
        <f t="shared" si="285"/>
        <v>14000</v>
      </c>
      <c r="AM267" s="109"/>
      <c r="AN267" s="106">
        <f t="shared" si="286"/>
        <v>14000</v>
      </c>
      <c r="AO267" s="106">
        <v>8000</v>
      </c>
      <c r="AP267" s="113">
        <v>4077</v>
      </c>
      <c r="AQ267" s="243">
        <v>15000</v>
      </c>
      <c r="AR267" s="275"/>
      <c r="AS267" s="244">
        <f t="shared" si="231"/>
        <v>15000</v>
      </c>
      <c r="AT267" s="103"/>
      <c r="AU267" s="159">
        <f t="shared" si="250"/>
        <v>2.759381898454746</v>
      </c>
      <c r="AV267" s="103"/>
    </row>
    <row r="268" spans="1:48" ht="12.75" hidden="1">
      <c r="A268" s="21"/>
      <c r="B268" s="27">
        <v>4260</v>
      </c>
      <c r="C268" s="18" t="s">
        <v>43</v>
      </c>
      <c r="D268" s="104">
        <v>3000</v>
      </c>
      <c r="E268" s="106"/>
      <c r="F268" s="106">
        <f t="shared" si="251"/>
        <v>3000</v>
      </c>
      <c r="G268" s="109"/>
      <c r="H268" s="106">
        <f t="shared" si="252"/>
        <v>3000</v>
      </c>
      <c r="I268" s="109"/>
      <c r="J268" s="106">
        <f t="shared" si="273"/>
        <v>3000</v>
      </c>
      <c r="K268" s="110"/>
      <c r="L268" s="106">
        <f t="shared" si="274"/>
        <v>3000</v>
      </c>
      <c r="M268" s="109"/>
      <c r="N268" s="106">
        <f t="shared" si="275"/>
        <v>3000</v>
      </c>
      <c r="O268" s="106"/>
      <c r="P268" s="106">
        <f t="shared" si="275"/>
        <v>3000</v>
      </c>
      <c r="Q268" s="109"/>
      <c r="R268" s="106">
        <f t="shared" si="275"/>
        <v>3000</v>
      </c>
      <c r="S268" s="109"/>
      <c r="T268" s="106">
        <f t="shared" si="276"/>
        <v>3000</v>
      </c>
      <c r="U268" s="109"/>
      <c r="V268" s="106">
        <f t="shared" si="277"/>
        <v>3000</v>
      </c>
      <c r="W268" s="109"/>
      <c r="X268" s="106">
        <f t="shared" si="278"/>
        <v>3000</v>
      </c>
      <c r="Y268" s="109"/>
      <c r="Z268" s="106">
        <f t="shared" si="279"/>
        <v>3000</v>
      </c>
      <c r="AA268" s="109"/>
      <c r="AB268" s="106">
        <f t="shared" si="280"/>
        <v>3000</v>
      </c>
      <c r="AC268" s="109"/>
      <c r="AD268" s="106">
        <f t="shared" si="281"/>
        <v>3000</v>
      </c>
      <c r="AE268" s="109"/>
      <c r="AF268" s="106">
        <f t="shared" si="282"/>
        <v>3000</v>
      </c>
      <c r="AG268" s="147"/>
      <c r="AH268" s="106">
        <f t="shared" si="283"/>
        <v>3000</v>
      </c>
      <c r="AI268" s="109"/>
      <c r="AJ268" s="106">
        <f t="shared" si="284"/>
        <v>3000</v>
      </c>
      <c r="AK268" s="109"/>
      <c r="AL268" s="106">
        <f t="shared" si="285"/>
        <v>3000</v>
      </c>
      <c r="AM268" s="109"/>
      <c r="AN268" s="106">
        <f t="shared" si="286"/>
        <v>3000</v>
      </c>
      <c r="AO268" s="106">
        <v>2062</v>
      </c>
      <c r="AP268" s="113">
        <v>1771</v>
      </c>
      <c r="AQ268" s="243">
        <v>3100</v>
      </c>
      <c r="AR268" s="275"/>
      <c r="AS268" s="244">
        <f t="shared" si="231"/>
        <v>3100</v>
      </c>
      <c r="AT268" s="103"/>
      <c r="AU268" s="164">
        <f t="shared" si="250"/>
        <v>1.312817617165443</v>
      </c>
      <c r="AV268" s="103">
        <f>(AP268/3*4)*130%</f>
        <v>3069.7333333333336</v>
      </c>
    </row>
    <row r="269" spans="1:48" ht="12.75" hidden="1">
      <c r="A269" s="21"/>
      <c r="B269" s="27">
        <v>4270</v>
      </c>
      <c r="C269" s="18" t="s">
        <v>24</v>
      </c>
      <c r="D269" s="104">
        <v>2000</v>
      </c>
      <c r="E269" s="106"/>
      <c r="F269" s="106">
        <f t="shared" si="251"/>
        <v>2000</v>
      </c>
      <c r="G269" s="109"/>
      <c r="H269" s="106">
        <f t="shared" si="252"/>
        <v>2000</v>
      </c>
      <c r="I269" s="109"/>
      <c r="J269" s="106">
        <f t="shared" si="273"/>
        <v>2000</v>
      </c>
      <c r="K269" s="110"/>
      <c r="L269" s="106">
        <f t="shared" si="274"/>
        <v>2000</v>
      </c>
      <c r="M269" s="109"/>
      <c r="N269" s="106">
        <f t="shared" si="275"/>
        <v>2000</v>
      </c>
      <c r="O269" s="106"/>
      <c r="P269" s="106">
        <f t="shared" si="275"/>
        <v>2000</v>
      </c>
      <c r="Q269" s="109"/>
      <c r="R269" s="106">
        <f t="shared" si="275"/>
        <v>2000</v>
      </c>
      <c r="S269" s="109"/>
      <c r="T269" s="106">
        <f t="shared" si="276"/>
        <v>2000</v>
      </c>
      <c r="U269" s="109"/>
      <c r="V269" s="106">
        <f t="shared" si="277"/>
        <v>2000</v>
      </c>
      <c r="W269" s="109"/>
      <c r="X269" s="106">
        <f t="shared" si="278"/>
        <v>2000</v>
      </c>
      <c r="Y269" s="109"/>
      <c r="Z269" s="106">
        <f t="shared" si="279"/>
        <v>2000</v>
      </c>
      <c r="AA269" s="109"/>
      <c r="AB269" s="106">
        <f t="shared" si="280"/>
        <v>2000</v>
      </c>
      <c r="AC269" s="109"/>
      <c r="AD269" s="106">
        <f t="shared" si="281"/>
        <v>2000</v>
      </c>
      <c r="AE269" s="109"/>
      <c r="AF269" s="106">
        <f t="shared" si="282"/>
        <v>2000</v>
      </c>
      <c r="AG269" s="147"/>
      <c r="AH269" s="106">
        <f t="shared" si="283"/>
        <v>2000</v>
      </c>
      <c r="AI269" s="109"/>
      <c r="AJ269" s="106">
        <f t="shared" si="284"/>
        <v>2000</v>
      </c>
      <c r="AK269" s="109"/>
      <c r="AL269" s="106">
        <f t="shared" si="285"/>
        <v>2000</v>
      </c>
      <c r="AM269" s="109"/>
      <c r="AN269" s="106">
        <f t="shared" si="286"/>
        <v>2000</v>
      </c>
      <c r="AO269" s="106">
        <v>537</v>
      </c>
      <c r="AP269" s="113">
        <v>129</v>
      </c>
      <c r="AQ269" s="243">
        <v>2000</v>
      </c>
      <c r="AR269" s="275"/>
      <c r="AS269" s="244">
        <f t="shared" si="231"/>
        <v>2000</v>
      </c>
      <c r="AT269" s="103"/>
      <c r="AU269" s="159">
        <f t="shared" si="250"/>
        <v>11.627906976744185</v>
      </c>
      <c r="AV269" s="103"/>
    </row>
    <row r="270" spans="1:48" ht="12.75" hidden="1">
      <c r="A270" s="21"/>
      <c r="B270" s="27">
        <v>4280</v>
      </c>
      <c r="C270" s="18" t="s">
        <v>44</v>
      </c>
      <c r="D270" s="104">
        <v>600</v>
      </c>
      <c r="E270" s="106"/>
      <c r="F270" s="106">
        <f t="shared" si="251"/>
        <v>600</v>
      </c>
      <c r="G270" s="109"/>
      <c r="H270" s="106">
        <f t="shared" si="252"/>
        <v>600</v>
      </c>
      <c r="I270" s="109"/>
      <c r="J270" s="106">
        <f t="shared" si="273"/>
        <v>600</v>
      </c>
      <c r="K270" s="110"/>
      <c r="L270" s="106">
        <f t="shared" si="274"/>
        <v>600</v>
      </c>
      <c r="M270" s="109"/>
      <c r="N270" s="106">
        <f t="shared" si="275"/>
        <v>600</v>
      </c>
      <c r="O270" s="106"/>
      <c r="P270" s="106">
        <f t="shared" si="275"/>
        <v>600</v>
      </c>
      <c r="Q270" s="109"/>
      <c r="R270" s="106">
        <f t="shared" si="275"/>
        <v>600</v>
      </c>
      <c r="S270" s="109"/>
      <c r="T270" s="106">
        <f t="shared" si="276"/>
        <v>600</v>
      </c>
      <c r="U270" s="109"/>
      <c r="V270" s="106">
        <f t="shared" si="277"/>
        <v>600</v>
      </c>
      <c r="W270" s="109"/>
      <c r="X270" s="106">
        <f t="shared" si="278"/>
        <v>600</v>
      </c>
      <c r="Y270" s="109"/>
      <c r="Z270" s="106">
        <f t="shared" si="279"/>
        <v>600</v>
      </c>
      <c r="AA270" s="109"/>
      <c r="AB270" s="106">
        <f t="shared" si="280"/>
        <v>600</v>
      </c>
      <c r="AC270" s="109"/>
      <c r="AD270" s="106">
        <f t="shared" si="281"/>
        <v>600</v>
      </c>
      <c r="AE270" s="109"/>
      <c r="AF270" s="106">
        <f t="shared" si="282"/>
        <v>600</v>
      </c>
      <c r="AG270" s="147"/>
      <c r="AH270" s="106">
        <f t="shared" si="283"/>
        <v>600</v>
      </c>
      <c r="AI270" s="109"/>
      <c r="AJ270" s="106">
        <f t="shared" si="284"/>
        <v>600</v>
      </c>
      <c r="AK270" s="109"/>
      <c r="AL270" s="106">
        <f t="shared" si="285"/>
        <v>600</v>
      </c>
      <c r="AM270" s="109"/>
      <c r="AN270" s="106">
        <f t="shared" si="286"/>
        <v>600</v>
      </c>
      <c r="AO270" s="106">
        <v>136</v>
      </c>
      <c r="AP270" s="113">
        <v>192</v>
      </c>
      <c r="AQ270" s="243">
        <v>800</v>
      </c>
      <c r="AR270" s="275"/>
      <c r="AS270" s="244">
        <f t="shared" si="231"/>
        <v>800</v>
      </c>
      <c r="AT270" s="103"/>
      <c r="AU270" s="159">
        <f t="shared" si="250"/>
        <v>3.125</v>
      </c>
      <c r="AV270" s="103"/>
    </row>
    <row r="271" spans="1:48" ht="12.75" hidden="1">
      <c r="A271" s="21"/>
      <c r="B271" s="27">
        <v>4300</v>
      </c>
      <c r="C271" s="18" t="s">
        <v>15</v>
      </c>
      <c r="D271" s="104">
        <v>10000</v>
      </c>
      <c r="E271" s="106"/>
      <c r="F271" s="106">
        <f t="shared" si="251"/>
        <v>10000</v>
      </c>
      <c r="G271" s="109"/>
      <c r="H271" s="106">
        <f t="shared" si="252"/>
        <v>10000</v>
      </c>
      <c r="I271" s="109"/>
      <c r="J271" s="106">
        <f t="shared" si="273"/>
        <v>10000</v>
      </c>
      <c r="K271" s="110"/>
      <c r="L271" s="106">
        <f t="shared" si="274"/>
        <v>10000</v>
      </c>
      <c r="M271" s="109"/>
      <c r="N271" s="106">
        <f t="shared" si="275"/>
        <v>10000</v>
      </c>
      <c r="O271" s="106"/>
      <c r="P271" s="106">
        <f t="shared" si="275"/>
        <v>10000</v>
      </c>
      <c r="Q271" s="109"/>
      <c r="R271" s="106">
        <f t="shared" si="275"/>
        <v>10000</v>
      </c>
      <c r="S271" s="109"/>
      <c r="T271" s="106">
        <f t="shared" si="276"/>
        <v>10000</v>
      </c>
      <c r="U271" s="172"/>
      <c r="V271" s="106">
        <f t="shared" si="277"/>
        <v>10000</v>
      </c>
      <c r="W271" s="172"/>
      <c r="X271" s="106">
        <f t="shared" si="278"/>
        <v>10000</v>
      </c>
      <c r="Y271" s="172"/>
      <c r="Z271" s="106">
        <f t="shared" si="279"/>
        <v>10000</v>
      </c>
      <c r="AA271" s="172"/>
      <c r="AB271" s="106">
        <f t="shared" si="280"/>
        <v>10000</v>
      </c>
      <c r="AC271" s="172"/>
      <c r="AD271" s="106">
        <f t="shared" si="281"/>
        <v>10000</v>
      </c>
      <c r="AE271" s="172"/>
      <c r="AF271" s="106">
        <f t="shared" si="282"/>
        <v>10000</v>
      </c>
      <c r="AG271" s="198"/>
      <c r="AH271" s="106">
        <f t="shared" si="283"/>
        <v>10000</v>
      </c>
      <c r="AI271" s="172"/>
      <c r="AJ271" s="106">
        <f t="shared" si="284"/>
        <v>10000</v>
      </c>
      <c r="AK271" s="172"/>
      <c r="AL271" s="106">
        <f t="shared" si="285"/>
        <v>10000</v>
      </c>
      <c r="AM271" s="172"/>
      <c r="AN271" s="106">
        <f t="shared" si="286"/>
        <v>10000</v>
      </c>
      <c r="AO271" s="106">
        <v>5128</v>
      </c>
      <c r="AP271" s="113">
        <v>5256</v>
      </c>
      <c r="AQ271" s="243">
        <v>10000</v>
      </c>
      <c r="AR271" s="275"/>
      <c r="AS271" s="244">
        <f t="shared" si="231"/>
        <v>10000</v>
      </c>
      <c r="AT271" s="103"/>
      <c r="AU271" s="159">
        <f t="shared" si="250"/>
        <v>1.4269406392694064</v>
      </c>
      <c r="AV271" s="103"/>
    </row>
    <row r="272" spans="1:48" ht="12.75" hidden="1">
      <c r="A272" s="21"/>
      <c r="B272" s="27">
        <v>4350</v>
      </c>
      <c r="C272" s="18" t="s">
        <v>55</v>
      </c>
      <c r="D272" s="104">
        <v>1500</v>
      </c>
      <c r="E272" s="106"/>
      <c r="F272" s="106">
        <f t="shared" si="251"/>
        <v>1500</v>
      </c>
      <c r="G272" s="109"/>
      <c r="H272" s="106">
        <f t="shared" si="252"/>
        <v>1500</v>
      </c>
      <c r="I272" s="109"/>
      <c r="J272" s="106">
        <f t="shared" si="273"/>
        <v>1500</v>
      </c>
      <c r="K272" s="110"/>
      <c r="L272" s="106">
        <f t="shared" si="274"/>
        <v>1500</v>
      </c>
      <c r="M272" s="109"/>
      <c r="N272" s="106">
        <f t="shared" si="275"/>
        <v>1500</v>
      </c>
      <c r="O272" s="106"/>
      <c r="P272" s="106">
        <f t="shared" si="275"/>
        <v>1500</v>
      </c>
      <c r="Q272" s="109"/>
      <c r="R272" s="106">
        <f t="shared" si="275"/>
        <v>1500</v>
      </c>
      <c r="S272" s="109"/>
      <c r="T272" s="106">
        <f t="shared" si="276"/>
        <v>1500</v>
      </c>
      <c r="U272" s="109"/>
      <c r="V272" s="106">
        <f t="shared" si="277"/>
        <v>1500</v>
      </c>
      <c r="W272" s="109"/>
      <c r="X272" s="106">
        <f t="shared" si="278"/>
        <v>1500</v>
      </c>
      <c r="Y272" s="109"/>
      <c r="Z272" s="106">
        <f t="shared" si="279"/>
        <v>1500</v>
      </c>
      <c r="AA272" s="109"/>
      <c r="AB272" s="106">
        <f t="shared" si="280"/>
        <v>1500</v>
      </c>
      <c r="AC272" s="109"/>
      <c r="AD272" s="106">
        <f t="shared" si="281"/>
        <v>1500</v>
      </c>
      <c r="AE272" s="109"/>
      <c r="AF272" s="106">
        <f t="shared" si="282"/>
        <v>1500</v>
      </c>
      <c r="AG272" s="147"/>
      <c r="AH272" s="106">
        <f t="shared" si="283"/>
        <v>1500</v>
      </c>
      <c r="AI272" s="109"/>
      <c r="AJ272" s="106">
        <f t="shared" si="284"/>
        <v>1500</v>
      </c>
      <c r="AK272" s="109"/>
      <c r="AL272" s="106">
        <f t="shared" si="285"/>
        <v>1500</v>
      </c>
      <c r="AM272" s="109"/>
      <c r="AN272" s="106">
        <f t="shared" si="286"/>
        <v>1500</v>
      </c>
      <c r="AO272" s="106">
        <v>792</v>
      </c>
      <c r="AP272" s="113">
        <v>520</v>
      </c>
      <c r="AQ272" s="243">
        <v>1500</v>
      </c>
      <c r="AR272" s="275"/>
      <c r="AS272" s="244">
        <f t="shared" si="231"/>
        <v>1500</v>
      </c>
      <c r="AT272" s="103"/>
      <c r="AU272" s="159">
        <f t="shared" si="250"/>
        <v>2.1634615384615383</v>
      </c>
      <c r="AV272" s="103"/>
    </row>
    <row r="273" spans="1:48" ht="25.5" hidden="1">
      <c r="A273" s="21"/>
      <c r="B273" s="27">
        <v>4360</v>
      </c>
      <c r="C273" s="18" t="s">
        <v>46</v>
      </c>
      <c r="D273" s="104">
        <v>0</v>
      </c>
      <c r="E273" s="106">
        <v>1000</v>
      </c>
      <c r="F273" s="106">
        <f t="shared" si="251"/>
        <v>1000</v>
      </c>
      <c r="G273" s="109"/>
      <c r="H273" s="106">
        <f t="shared" si="252"/>
        <v>1000</v>
      </c>
      <c r="I273" s="109"/>
      <c r="J273" s="106">
        <f t="shared" si="273"/>
        <v>1000</v>
      </c>
      <c r="K273" s="110"/>
      <c r="L273" s="106">
        <f t="shared" si="274"/>
        <v>1000</v>
      </c>
      <c r="M273" s="109"/>
      <c r="N273" s="106">
        <f t="shared" si="275"/>
        <v>1000</v>
      </c>
      <c r="O273" s="106"/>
      <c r="P273" s="106">
        <f t="shared" si="275"/>
        <v>1000</v>
      </c>
      <c r="Q273" s="109"/>
      <c r="R273" s="106">
        <f t="shared" si="275"/>
        <v>1000</v>
      </c>
      <c r="S273" s="109"/>
      <c r="T273" s="106">
        <f t="shared" si="276"/>
        <v>1000</v>
      </c>
      <c r="U273" s="109"/>
      <c r="V273" s="106">
        <f t="shared" si="277"/>
        <v>1000</v>
      </c>
      <c r="W273" s="109"/>
      <c r="X273" s="106">
        <f t="shared" si="278"/>
        <v>1000</v>
      </c>
      <c r="Y273" s="109"/>
      <c r="Z273" s="106">
        <f t="shared" si="279"/>
        <v>1000</v>
      </c>
      <c r="AA273" s="109"/>
      <c r="AB273" s="106">
        <f t="shared" si="280"/>
        <v>1000</v>
      </c>
      <c r="AC273" s="109"/>
      <c r="AD273" s="106">
        <f t="shared" si="281"/>
        <v>1000</v>
      </c>
      <c r="AE273" s="109"/>
      <c r="AF273" s="106">
        <f t="shared" si="282"/>
        <v>1000</v>
      </c>
      <c r="AG273" s="147"/>
      <c r="AH273" s="106">
        <f t="shared" si="283"/>
        <v>1000</v>
      </c>
      <c r="AI273" s="109"/>
      <c r="AJ273" s="106">
        <f t="shared" si="284"/>
        <v>1000</v>
      </c>
      <c r="AK273" s="109"/>
      <c r="AL273" s="106">
        <f t="shared" si="285"/>
        <v>1000</v>
      </c>
      <c r="AM273" s="109"/>
      <c r="AN273" s="106">
        <f t="shared" si="286"/>
        <v>1000</v>
      </c>
      <c r="AO273" s="106">
        <v>0</v>
      </c>
      <c r="AP273" s="113">
        <v>547</v>
      </c>
      <c r="AQ273" s="243">
        <v>1000</v>
      </c>
      <c r="AR273" s="275"/>
      <c r="AS273" s="244">
        <f t="shared" si="231"/>
        <v>1000</v>
      </c>
      <c r="AT273" s="103"/>
      <c r="AU273" s="159">
        <f t="shared" si="250"/>
        <v>1.3711151736745886</v>
      </c>
      <c r="AV273" s="103"/>
    </row>
    <row r="274" spans="1:48" ht="25.5" hidden="1">
      <c r="A274" s="21"/>
      <c r="B274" s="27">
        <v>4370</v>
      </c>
      <c r="C274" s="18" t="s">
        <v>47</v>
      </c>
      <c r="D274" s="104">
        <v>3500</v>
      </c>
      <c r="E274" s="106"/>
      <c r="F274" s="106">
        <f t="shared" si="251"/>
        <v>3500</v>
      </c>
      <c r="G274" s="109"/>
      <c r="H274" s="106">
        <f t="shared" si="252"/>
        <v>3500</v>
      </c>
      <c r="I274" s="109"/>
      <c r="J274" s="106">
        <f t="shared" si="273"/>
        <v>3500</v>
      </c>
      <c r="K274" s="110"/>
      <c r="L274" s="106">
        <f t="shared" si="274"/>
        <v>3500</v>
      </c>
      <c r="M274" s="109"/>
      <c r="N274" s="106">
        <f t="shared" si="275"/>
        <v>3500</v>
      </c>
      <c r="O274" s="106"/>
      <c r="P274" s="106">
        <f t="shared" si="275"/>
        <v>3500</v>
      </c>
      <c r="Q274" s="109"/>
      <c r="R274" s="106">
        <f t="shared" si="275"/>
        <v>3500</v>
      </c>
      <c r="S274" s="109"/>
      <c r="T274" s="106">
        <f t="shared" si="276"/>
        <v>3500</v>
      </c>
      <c r="U274" s="109"/>
      <c r="V274" s="106">
        <f t="shared" si="277"/>
        <v>3500</v>
      </c>
      <c r="W274" s="109"/>
      <c r="X274" s="106">
        <f t="shared" si="278"/>
        <v>3500</v>
      </c>
      <c r="Y274" s="109"/>
      <c r="Z274" s="106">
        <f t="shared" si="279"/>
        <v>3500</v>
      </c>
      <c r="AA274" s="109"/>
      <c r="AB274" s="106">
        <f t="shared" si="280"/>
        <v>3500</v>
      </c>
      <c r="AC274" s="109"/>
      <c r="AD274" s="106">
        <f t="shared" si="281"/>
        <v>3500</v>
      </c>
      <c r="AE274" s="109"/>
      <c r="AF274" s="106">
        <f t="shared" si="282"/>
        <v>3500</v>
      </c>
      <c r="AG274" s="147"/>
      <c r="AH274" s="106">
        <f t="shared" si="283"/>
        <v>3500</v>
      </c>
      <c r="AI274" s="109"/>
      <c r="AJ274" s="106">
        <f t="shared" si="284"/>
        <v>3500</v>
      </c>
      <c r="AK274" s="109"/>
      <c r="AL274" s="106">
        <f t="shared" si="285"/>
        <v>3500</v>
      </c>
      <c r="AM274" s="109"/>
      <c r="AN274" s="106">
        <f t="shared" si="286"/>
        <v>3500</v>
      </c>
      <c r="AO274" s="106">
        <v>2377</v>
      </c>
      <c r="AP274" s="113">
        <v>1253</v>
      </c>
      <c r="AQ274" s="243">
        <v>2000</v>
      </c>
      <c r="AR274" s="275"/>
      <c r="AS274" s="244">
        <f t="shared" si="231"/>
        <v>2000</v>
      </c>
      <c r="AT274" s="103"/>
      <c r="AU274" s="159">
        <f t="shared" si="250"/>
        <v>1.1971268954509178</v>
      </c>
      <c r="AV274" s="103">
        <f aca="true" t="shared" si="287" ref="AV274:AV307">AP274/3*4</f>
        <v>1670.6666666666667</v>
      </c>
    </row>
    <row r="275" spans="1:48" ht="12.75" hidden="1">
      <c r="A275" s="21"/>
      <c r="B275" s="27">
        <v>4410</v>
      </c>
      <c r="C275" s="18" t="s">
        <v>48</v>
      </c>
      <c r="D275" s="104">
        <v>600</v>
      </c>
      <c r="E275" s="106"/>
      <c r="F275" s="106">
        <f t="shared" si="251"/>
        <v>600</v>
      </c>
      <c r="G275" s="109"/>
      <c r="H275" s="106">
        <f t="shared" si="252"/>
        <v>600</v>
      </c>
      <c r="I275" s="109"/>
      <c r="J275" s="106">
        <f t="shared" si="273"/>
        <v>600</v>
      </c>
      <c r="K275" s="110"/>
      <c r="L275" s="106">
        <f t="shared" si="274"/>
        <v>600</v>
      </c>
      <c r="M275" s="109"/>
      <c r="N275" s="106">
        <f t="shared" si="275"/>
        <v>600</v>
      </c>
      <c r="O275" s="106"/>
      <c r="P275" s="106">
        <f t="shared" si="275"/>
        <v>600</v>
      </c>
      <c r="Q275" s="109"/>
      <c r="R275" s="106">
        <f t="shared" si="275"/>
        <v>600</v>
      </c>
      <c r="S275" s="109"/>
      <c r="T275" s="106">
        <f t="shared" si="276"/>
        <v>600</v>
      </c>
      <c r="U275" s="109"/>
      <c r="V275" s="106">
        <f t="shared" si="277"/>
        <v>600</v>
      </c>
      <c r="W275" s="109"/>
      <c r="X275" s="106">
        <f t="shared" si="278"/>
        <v>600</v>
      </c>
      <c r="Y275" s="109"/>
      <c r="Z275" s="106">
        <f t="shared" si="279"/>
        <v>600</v>
      </c>
      <c r="AA275" s="109"/>
      <c r="AB275" s="106">
        <f t="shared" si="280"/>
        <v>600</v>
      </c>
      <c r="AC275" s="109"/>
      <c r="AD275" s="106">
        <f t="shared" si="281"/>
        <v>600</v>
      </c>
      <c r="AE275" s="109"/>
      <c r="AF275" s="106">
        <f t="shared" si="282"/>
        <v>600</v>
      </c>
      <c r="AG275" s="147"/>
      <c r="AH275" s="106">
        <f t="shared" si="283"/>
        <v>600</v>
      </c>
      <c r="AI275" s="109"/>
      <c r="AJ275" s="106">
        <f t="shared" si="284"/>
        <v>600</v>
      </c>
      <c r="AK275" s="109"/>
      <c r="AL275" s="106">
        <f t="shared" si="285"/>
        <v>600</v>
      </c>
      <c r="AM275" s="109"/>
      <c r="AN275" s="106">
        <f t="shared" si="286"/>
        <v>600</v>
      </c>
      <c r="AO275" s="106">
        <v>65</v>
      </c>
      <c r="AP275" s="113">
        <v>437</v>
      </c>
      <c r="AQ275" s="243">
        <v>1000</v>
      </c>
      <c r="AR275" s="275"/>
      <c r="AS275" s="244">
        <f t="shared" si="231"/>
        <v>1000</v>
      </c>
      <c r="AT275" s="103"/>
      <c r="AU275" s="159">
        <f t="shared" si="250"/>
        <v>1.7162471395881007</v>
      </c>
      <c r="AV275" s="103">
        <f t="shared" si="287"/>
        <v>582.6666666666666</v>
      </c>
    </row>
    <row r="276" spans="1:48" ht="12.75" hidden="1">
      <c r="A276" s="21"/>
      <c r="B276" s="27">
        <v>4430</v>
      </c>
      <c r="C276" s="18" t="s">
        <v>16</v>
      </c>
      <c r="D276" s="104">
        <v>5000</v>
      </c>
      <c r="E276" s="106"/>
      <c r="F276" s="106">
        <f t="shared" si="251"/>
        <v>5000</v>
      </c>
      <c r="G276" s="109"/>
      <c r="H276" s="106">
        <f t="shared" si="252"/>
        <v>5000</v>
      </c>
      <c r="I276" s="109"/>
      <c r="J276" s="106">
        <f t="shared" si="273"/>
        <v>5000</v>
      </c>
      <c r="K276" s="110"/>
      <c r="L276" s="106">
        <f t="shared" si="274"/>
        <v>5000</v>
      </c>
      <c r="M276" s="109"/>
      <c r="N276" s="106">
        <f t="shared" si="275"/>
        <v>5000</v>
      </c>
      <c r="O276" s="106"/>
      <c r="P276" s="106">
        <f t="shared" si="275"/>
        <v>5000</v>
      </c>
      <c r="Q276" s="109"/>
      <c r="R276" s="106">
        <f t="shared" si="275"/>
        <v>5000</v>
      </c>
      <c r="S276" s="109"/>
      <c r="T276" s="106">
        <f t="shared" si="276"/>
        <v>5000</v>
      </c>
      <c r="U276" s="109"/>
      <c r="V276" s="106">
        <f t="shared" si="277"/>
        <v>5000</v>
      </c>
      <c r="W276" s="109"/>
      <c r="X276" s="106">
        <f t="shared" si="278"/>
        <v>5000</v>
      </c>
      <c r="Y276" s="109"/>
      <c r="Z276" s="106">
        <f t="shared" si="279"/>
        <v>5000</v>
      </c>
      <c r="AA276" s="109"/>
      <c r="AB276" s="106">
        <f t="shared" si="280"/>
        <v>5000</v>
      </c>
      <c r="AC276" s="109"/>
      <c r="AD276" s="106">
        <f t="shared" si="281"/>
        <v>5000</v>
      </c>
      <c r="AE276" s="109"/>
      <c r="AF276" s="106">
        <f t="shared" si="282"/>
        <v>5000</v>
      </c>
      <c r="AG276" s="147"/>
      <c r="AH276" s="106">
        <f t="shared" si="283"/>
        <v>5000</v>
      </c>
      <c r="AI276" s="109"/>
      <c r="AJ276" s="106">
        <f t="shared" si="284"/>
        <v>5000</v>
      </c>
      <c r="AK276" s="109"/>
      <c r="AL276" s="106">
        <f t="shared" si="285"/>
        <v>5000</v>
      </c>
      <c r="AM276" s="109"/>
      <c r="AN276" s="106">
        <v>3350</v>
      </c>
      <c r="AO276" s="106">
        <v>1833</v>
      </c>
      <c r="AP276" s="113">
        <v>55</v>
      </c>
      <c r="AQ276" s="243">
        <v>2000</v>
      </c>
      <c r="AR276" s="275"/>
      <c r="AS276" s="244">
        <f t="shared" si="231"/>
        <v>2000</v>
      </c>
      <c r="AT276" s="103"/>
      <c r="AU276" s="159">
        <f t="shared" si="250"/>
        <v>27.272727272727273</v>
      </c>
      <c r="AV276" s="103">
        <f t="shared" si="287"/>
        <v>73.33333333333333</v>
      </c>
    </row>
    <row r="277" spans="1:48" ht="12.75" hidden="1">
      <c r="A277" s="21"/>
      <c r="B277" s="27">
        <v>4440</v>
      </c>
      <c r="C277" s="18" t="s">
        <v>50</v>
      </c>
      <c r="D277" s="104">
        <v>6045</v>
      </c>
      <c r="E277" s="106"/>
      <c r="F277" s="106">
        <f t="shared" si="251"/>
        <v>6045</v>
      </c>
      <c r="G277" s="109"/>
      <c r="H277" s="106">
        <f t="shared" si="252"/>
        <v>6045</v>
      </c>
      <c r="I277" s="109"/>
      <c r="J277" s="106">
        <f t="shared" si="273"/>
        <v>6045</v>
      </c>
      <c r="K277" s="110"/>
      <c r="L277" s="106">
        <f t="shared" si="274"/>
        <v>6045</v>
      </c>
      <c r="M277" s="109"/>
      <c r="N277" s="106">
        <f t="shared" si="275"/>
        <v>6045</v>
      </c>
      <c r="O277" s="106"/>
      <c r="P277" s="106">
        <f t="shared" si="275"/>
        <v>6045</v>
      </c>
      <c r="Q277" s="109"/>
      <c r="R277" s="106">
        <f t="shared" si="275"/>
        <v>6045</v>
      </c>
      <c r="S277" s="109"/>
      <c r="T277" s="106">
        <f t="shared" si="276"/>
        <v>6045</v>
      </c>
      <c r="U277" s="109"/>
      <c r="V277" s="106">
        <f t="shared" si="277"/>
        <v>6045</v>
      </c>
      <c r="W277" s="109"/>
      <c r="X277" s="106">
        <f t="shared" si="278"/>
        <v>6045</v>
      </c>
      <c r="Y277" s="109"/>
      <c r="Z277" s="106">
        <f t="shared" si="279"/>
        <v>6045</v>
      </c>
      <c r="AA277" s="109"/>
      <c r="AB277" s="106">
        <f t="shared" si="280"/>
        <v>6045</v>
      </c>
      <c r="AC277" s="109"/>
      <c r="AD277" s="106">
        <f t="shared" si="281"/>
        <v>6045</v>
      </c>
      <c r="AE277" s="109"/>
      <c r="AF277" s="106">
        <f t="shared" si="282"/>
        <v>6045</v>
      </c>
      <c r="AG277" s="147"/>
      <c r="AH277" s="106">
        <f t="shared" si="283"/>
        <v>6045</v>
      </c>
      <c r="AI277" s="109"/>
      <c r="AJ277" s="106">
        <f t="shared" si="284"/>
        <v>6045</v>
      </c>
      <c r="AK277" s="109"/>
      <c r="AL277" s="106">
        <f t="shared" si="285"/>
        <v>6045</v>
      </c>
      <c r="AM277" s="109"/>
      <c r="AN277" s="106">
        <f t="shared" si="286"/>
        <v>6045</v>
      </c>
      <c r="AO277" s="106">
        <v>5994</v>
      </c>
      <c r="AP277" s="113">
        <v>6045</v>
      </c>
      <c r="AQ277" s="243">
        <v>6502</v>
      </c>
      <c r="AR277" s="275"/>
      <c r="AS277" s="244">
        <f t="shared" si="231"/>
        <v>6502</v>
      </c>
      <c r="AT277" s="103"/>
      <c r="AU277" s="159">
        <f t="shared" si="250"/>
        <v>0.8066997518610421</v>
      </c>
      <c r="AV277" s="103">
        <f t="shared" si="287"/>
        <v>8060</v>
      </c>
    </row>
    <row r="278" spans="1:48" ht="12.75" hidden="1">
      <c r="A278" s="21"/>
      <c r="B278" s="27">
        <v>4580</v>
      </c>
      <c r="C278" s="18" t="s">
        <v>136</v>
      </c>
      <c r="D278" s="104"/>
      <c r="E278" s="106"/>
      <c r="F278" s="106"/>
      <c r="G278" s="109"/>
      <c r="H278" s="106"/>
      <c r="I278" s="109"/>
      <c r="J278" s="106"/>
      <c r="K278" s="110"/>
      <c r="L278" s="106"/>
      <c r="M278" s="109"/>
      <c r="N278" s="106"/>
      <c r="O278" s="106"/>
      <c r="P278" s="106"/>
      <c r="Q278" s="109"/>
      <c r="R278" s="106"/>
      <c r="S278" s="109"/>
      <c r="T278" s="106"/>
      <c r="U278" s="109"/>
      <c r="V278" s="106"/>
      <c r="W278" s="109"/>
      <c r="X278" s="106"/>
      <c r="Y278" s="109"/>
      <c r="Z278" s="106"/>
      <c r="AA278" s="109"/>
      <c r="AB278" s="106"/>
      <c r="AC278" s="109"/>
      <c r="AD278" s="106"/>
      <c r="AE278" s="109"/>
      <c r="AF278" s="106"/>
      <c r="AG278" s="147"/>
      <c r="AH278" s="106"/>
      <c r="AI278" s="109"/>
      <c r="AJ278" s="106"/>
      <c r="AK278" s="109"/>
      <c r="AL278" s="106"/>
      <c r="AM278" s="109"/>
      <c r="AN278" s="106"/>
      <c r="AO278" s="106"/>
      <c r="AP278" s="113">
        <v>107</v>
      </c>
      <c r="AQ278" s="243">
        <v>0</v>
      </c>
      <c r="AR278" s="275"/>
      <c r="AS278" s="244">
        <f t="shared" si="231"/>
        <v>0</v>
      </c>
      <c r="AT278" s="103"/>
      <c r="AU278" s="159">
        <f t="shared" si="250"/>
        <v>0</v>
      </c>
      <c r="AV278" s="103">
        <f t="shared" si="287"/>
        <v>142.66666666666666</v>
      </c>
    </row>
    <row r="279" spans="1:48" ht="25.5" hidden="1">
      <c r="A279" s="21"/>
      <c r="B279" s="27">
        <v>4740</v>
      </c>
      <c r="C279" s="18" t="s">
        <v>52</v>
      </c>
      <c r="D279" s="104">
        <v>3500</v>
      </c>
      <c r="E279" s="106"/>
      <c r="F279" s="106">
        <f t="shared" si="251"/>
        <v>3500</v>
      </c>
      <c r="G279" s="109"/>
      <c r="H279" s="106">
        <f t="shared" si="252"/>
        <v>3500</v>
      </c>
      <c r="I279" s="109"/>
      <c r="J279" s="106">
        <f t="shared" si="273"/>
        <v>3500</v>
      </c>
      <c r="K279" s="110"/>
      <c r="L279" s="106">
        <f t="shared" si="274"/>
        <v>3500</v>
      </c>
      <c r="M279" s="109"/>
      <c r="N279" s="106">
        <f t="shared" si="275"/>
        <v>3500</v>
      </c>
      <c r="O279" s="106"/>
      <c r="P279" s="106">
        <f t="shared" si="275"/>
        <v>3500</v>
      </c>
      <c r="Q279" s="109"/>
      <c r="R279" s="106">
        <f t="shared" si="275"/>
        <v>3500</v>
      </c>
      <c r="S279" s="109"/>
      <c r="T279" s="106">
        <f t="shared" si="276"/>
        <v>3500</v>
      </c>
      <c r="U279" s="109"/>
      <c r="V279" s="106">
        <f t="shared" si="277"/>
        <v>3500</v>
      </c>
      <c r="W279" s="109"/>
      <c r="X279" s="106">
        <f t="shared" si="278"/>
        <v>3500</v>
      </c>
      <c r="Y279" s="109"/>
      <c r="Z279" s="106">
        <f t="shared" si="279"/>
        <v>3500</v>
      </c>
      <c r="AA279" s="109"/>
      <c r="AB279" s="106">
        <f t="shared" si="280"/>
        <v>3500</v>
      </c>
      <c r="AC279" s="109"/>
      <c r="AD279" s="106">
        <f t="shared" si="281"/>
        <v>3500</v>
      </c>
      <c r="AE279" s="109"/>
      <c r="AF279" s="106">
        <f t="shared" si="282"/>
        <v>3500</v>
      </c>
      <c r="AG279" s="147"/>
      <c r="AH279" s="106">
        <f t="shared" si="283"/>
        <v>3500</v>
      </c>
      <c r="AI279" s="109"/>
      <c r="AJ279" s="106">
        <f t="shared" si="284"/>
        <v>3500</v>
      </c>
      <c r="AK279" s="109"/>
      <c r="AL279" s="106">
        <f t="shared" si="285"/>
        <v>3500</v>
      </c>
      <c r="AM279" s="109"/>
      <c r="AN279" s="106">
        <f>AM279+AL279</f>
        <v>3500</v>
      </c>
      <c r="AO279" s="106">
        <v>1661</v>
      </c>
      <c r="AP279" s="113">
        <v>804</v>
      </c>
      <c r="AQ279" s="243">
        <v>2500</v>
      </c>
      <c r="AR279" s="275"/>
      <c r="AS279" s="244">
        <f aca="true" t="shared" si="288" ref="AS279:AS342">AR279+AQ279</f>
        <v>2500</v>
      </c>
      <c r="AT279" s="103"/>
      <c r="AU279" s="159">
        <f t="shared" si="250"/>
        <v>2.332089552238806</v>
      </c>
      <c r="AV279" s="103">
        <f t="shared" si="287"/>
        <v>1072</v>
      </c>
    </row>
    <row r="280" spans="1:48" ht="12.75" hidden="1">
      <c r="A280" s="21"/>
      <c r="B280" s="27">
        <v>4750</v>
      </c>
      <c r="C280" s="18" t="s">
        <v>53</v>
      </c>
      <c r="D280" s="104">
        <v>7000</v>
      </c>
      <c r="E280" s="106"/>
      <c r="F280" s="106">
        <f t="shared" si="251"/>
        <v>7000</v>
      </c>
      <c r="G280" s="109"/>
      <c r="H280" s="106">
        <f t="shared" si="252"/>
        <v>7000</v>
      </c>
      <c r="I280" s="109"/>
      <c r="J280" s="106">
        <f t="shared" si="273"/>
        <v>7000</v>
      </c>
      <c r="K280" s="110"/>
      <c r="L280" s="106">
        <f t="shared" si="274"/>
        <v>7000</v>
      </c>
      <c r="M280" s="109"/>
      <c r="N280" s="106">
        <f t="shared" si="275"/>
        <v>7000</v>
      </c>
      <c r="O280" s="106"/>
      <c r="P280" s="106">
        <f t="shared" si="275"/>
        <v>7000</v>
      </c>
      <c r="Q280" s="109"/>
      <c r="R280" s="106">
        <f t="shared" si="275"/>
        <v>7000</v>
      </c>
      <c r="S280" s="109"/>
      <c r="T280" s="106">
        <f t="shared" si="276"/>
        <v>7000</v>
      </c>
      <c r="U280" s="109"/>
      <c r="V280" s="106">
        <f t="shared" si="277"/>
        <v>7000</v>
      </c>
      <c r="W280" s="109"/>
      <c r="X280" s="106">
        <f t="shared" si="278"/>
        <v>7000</v>
      </c>
      <c r="Y280" s="109"/>
      <c r="Z280" s="106">
        <f t="shared" si="279"/>
        <v>7000</v>
      </c>
      <c r="AA280" s="109"/>
      <c r="AB280" s="106">
        <f t="shared" si="280"/>
        <v>7000</v>
      </c>
      <c r="AC280" s="109"/>
      <c r="AD280" s="106">
        <f t="shared" si="281"/>
        <v>7000</v>
      </c>
      <c r="AE280" s="109"/>
      <c r="AF280" s="106">
        <f t="shared" si="282"/>
        <v>7000</v>
      </c>
      <c r="AG280" s="147"/>
      <c r="AH280" s="106">
        <f t="shared" si="283"/>
        <v>7000</v>
      </c>
      <c r="AI280" s="109"/>
      <c r="AJ280" s="106">
        <f t="shared" si="284"/>
        <v>7000</v>
      </c>
      <c r="AK280" s="109"/>
      <c r="AL280" s="106">
        <f t="shared" si="285"/>
        <v>7000</v>
      </c>
      <c r="AM280" s="109"/>
      <c r="AN280" s="106">
        <f>AM280+AL280</f>
        <v>7000</v>
      </c>
      <c r="AO280" s="106">
        <v>5463</v>
      </c>
      <c r="AP280" s="113">
        <v>3207</v>
      </c>
      <c r="AQ280" s="243">
        <v>6000</v>
      </c>
      <c r="AR280" s="275"/>
      <c r="AS280" s="244">
        <f t="shared" si="288"/>
        <v>6000</v>
      </c>
      <c r="AT280" s="103"/>
      <c r="AU280" s="159">
        <f t="shared" si="250"/>
        <v>1.4031805425631432</v>
      </c>
      <c r="AV280" s="103">
        <f t="shared" si="287"/>
        <v>4276</v>
      </c>
    </row>
    <row r="281" spans="1:48" ht="12.75" hidden="1">
      <c r="A281" s="21"/>
      <c r="B281" s="27">
        <v>6060</v>
      </c>
      <c r="C281" s="18" t="s">
        <v>61</v>
      </c>
      <c r="D281" s="104">
        <v>0</v>
      </c>
      <c r="E281" s="106"/>
      <c r="F281" s="106">
        <f t="shared" si="251"/>
        <v>0</v>
      </c>
      <c r="G281" s="109"/>
      <c r="H281" s="106">
        <f t="shared" si="252"/>
        <v>0</v>
      </c>
      <c r="I281" s="109"/>
      <c r="J281" s="106">
        <f t="shared" si="273"/>
        <v>0</v>
      </c>
      <c r="K281" s="110"/>
      <c r="L281" s="106">
        <f t="shared" si="274"/>
        <v>0</v>
      </c>
      <c r="M281" s="109"/>
      <c r="N281" s="106">
        <f t="shared" si="275"/>
        <v>0</v>
      </c>
      <c r="O281" s="106"/>
      <c r="P281" s="106">
        <f t="shared" si="275"/>
        <v>0</v>
      </c>
      <c r="Q281" s="109"/>
      <c r="R281" s="106">
        <f t="shared" si="275"/>
        <v>0</v>
      </c>
      <c r="S281" s="109"/>
      <c r="T281" s="106">
        <f t="shared" si="276"/>
        <v>0</v>
      </c>
      <c r="U281" s="109"/>
      <c r="V281" s="106">
        <f t="shared" si="277"/>
        <v>0</v>
      </c>
      <c r="W281" s="109"/>
      <c r="X281" s="106">
        <f t="shared" si="278"/>
        <v>0</v>
      </c>
      <c r="Y281" s="109"/>
      <c r="Z281" s="106">
        <f t="shared" si="279"/>
        <v>0</v>
      </c>
      <c r="AA281" s="109"/>
      <c r="AB281" s="106">
        <f t="shared" si="280"/>
        <v>0</v>
      </c>
      <c r="AC281" s="109"/>
      <c r="AD281" s="106">
        <f t="shared" si="281"/>
        <v>0</v>
      </c>
      <c r="AE281" s="109"/>
      <c r="AF281" s="106">
        <f t="shared" si="282"/>
        <v>0</v>
      </c>
      <c r="AG281" s="147"/>
      <c r="AH281" s="106">
        <f t="shared" si="283"/>
        <v>0</v>
      </c>
      <c r="AI281" s="109"/>
      <c r="AJ281" s="106">
        <f t="shared" si="284"/>
        <v>0</v>
      </c>
      <c r="AK281" s="109"/>
      <c r="AL281" s="106">
        <f t="shared" si="285"/>
        <v>0</v>
      </c>
      <c r="AM281" s="109"/>
      <c r="AN281" s="106">
        <f>AM281+AL281</f>
        <v>0</v>
      </c>
      <c r="AO281" s="106">
        <v>14202</v>
      </c>
      <c r="AP281" s="113">
        <v>0</v>
      </c>
      <c r="AQ281" s="243">
        <v>0</v>
      </c>
      <c r="AR281" s="275"/>
      <c r="AS281" s="244">
        <f t="shared" si="288"/>
        <v>0</v>
      </c>
      <c r="AT281" s="103"/>
      <c r="AU281" s="159" t="e">
        <f t="shared" si="250"/>
        <v>#DIV/0!</v>
      </c>
      <c r="AV281" s="103">
        <f t="shared" si="287"/>
        <v>0</v>
      </c>
    </row>
    <row r="282" spans="1:48" ht="12.75" hidden="1">
      <c r="A282" s="31">
        <v>80146</v>
      </c>
      <c r="B282" s="26"/>
      <c r="C282" s="19" t="s">
        <v>83</v>
      </c>
      <c r="D282" s="190">
        <f aca="true" t="shared" si="289" ref="D282:J282">SUM(D283:D285)</f>
        <v>31830</v>
      </c>
      <c r="E282" s="190">
        <f t="shared" si="289"/>
        <v>0</v>
      </c>
      <c r="F282" s="190">
        <f t="shared" si="289"/>
        <v>31830</v>
      </c>
      <c r="G282" s="190">
        <f t="shared" si="289"/>
        <v>0</v>
      </c>
      <c r="H282" s="190">
        <f t="shared" si="289"/>
        <v>31830</v>
      </c>
      <c r="I282" s="190">
        <f t="shared" si="289"/>
        <v>0</v>
      </c>
      <c r="J282" s="190">
        <f t="shared" si="289"/>
        <v>31830</v>
      </c>
      <c r="K282" s="110"/>
      <c r="L282" s="190">
        <f>SUM(L283:L285)</f>
        <v>31830</v>
      </c>
      <c r="M282" s="109"/>
      <c r="N282" s="190">
        <f>SUM(N283:N285)</f>
        <v>31830</v>
      </c>
      <c r="O282" s="190"/>
      <c r="P282" s="190">
        <f>SUM(P283:P285)</f>
        <v>31830</v>
      </c>
      <c r="Q282" s="109"/>
      <c r="R282" s="190">
        <f>SUM(R283:R285)</f>
        <v>31830</v>
      </c>
      <c r="S282" s="109"/>
      <c r="T282" s="190">
        <f aca="true" t="shared" si="290" ref="T282:Z282">SUM(T283:T285)</f>
        <v>31830</v>
      </c>
      <c r="U282" s="190">
        <f t="shared" si="290"/>
        <v>0</v>
      </c>
      <c r="V282" s="190">
        <f t="shared" si="290"/>
        <v>31830</v>
      </c>
      <c r="W282" s="190">
        <f t="shared" si="290"/>
        <v>0</v>
      </c>
      <c r="X282" s="190">
        <f t="shared" si="290"/>
        <v>31830</v>
      </c>
      <c r="Y282" s="190">
        <f t="shared" si="290"/>
        <v>0</v>
      </c>
      <c r="Z282" s="190">
        <f t="shared" si="290"/>
        <v>31830</v>
      </c>
      <c r="AA282" s="190">
        <f aca="true" t="shared" si="291" ref="AA282:AF282">SUM(AA283:AA285)</f>
        <v>3000</v>
      </c>
      <c r="AB282" s="190">
        <f t="shared" si="291"/>
        <v>34830</v>
      </c>
      <c r="AC282" s="190">
        <f t="shared" si="291"/>
        <v>0</v>
      </c>
      <c r="AD282" s="190">
        <f t="shared" si="291"/>
        <v>34830</v>
      </c>
      <c r="AE282" s="190">
        <f t="shared" si="291"/>
        <v>0</v>
      </c>
      <c r="AF282" s="190">
        <f t="shared" si="291"/>
        <v>34830</v>
      </c>
      <c r="AG282" s="191">
        <f aca="true" t="shared" si="292" ref="AG282:AL282">SUM(AG283:AG285)</f>
        <v>0</v>
      </c>
      <c r="AH282" s="190">
        <f t="shared" si="292"/>
        <v>34830</v>
      </c>
      <c r="AI282" s="190">
        <f t="shared" si="292"/>
        <v>0</v>
      </c>
      <c r="AJ282" s="190">
        <f t="shared" si="292"/>
        <v>34830</v>
      </c>
      <c r="AK282" s="190">
        <f t="shared" si="292"/>
        <v>0</v>
      </c>
      <c r="AL282" s="190">
        <f t="shared" si="292"/>
        <v>34830</v>
      </c>
      <c r="AM282" s="190">
        <f>SUM(AM283:AM285)</f>
        <v>0</v>
      </c>
      <c r="AN282" s="190">
        <f>SUM(AN283:AN285)</f>
        <v>34830</v>
      </c>
      <c r="AO282" s="190">
        <f>SUM(AO283:AO285)</f>
        <v>45712</v>
      </c>
      <c r="AP282" s="81">
        <f>SUM(AP283:AP285)</f>
        <v>19583</v>
      </c>
      <c r="AQ282" s="247">
        <f>SUM(AQ283:AQ285)</f>
        <v>66477</v>
      </c>
      <c r="AR282" s="274"/>
      <c r="AS282" s="244">
        <f t="shared" si="288"/>
        <v>66477</v>
      </c>
      <c r="AT282" s="103"/>
      <c r="AU282" s="159">
        <f t="shared" si="250"/>
        <v>2.545970995250983</v>
      </c>
      <c r="AV282" s="103">
        <f t="shared" si="287"/>
        <v>26110.666666666668</v>
      </c>
    </row>
    <row r="283" spans="1:48" ht="12.75" hidden="1">
      <c r="A283" s="21"/>
      <c r="B283" s="27">
        <v>4210</v>
      </c>
      <c r="C283" s="18" t="s">
        <v>14</v>
      </c>
      <c r="D283" s="104">
        <v>5700</v>
      </c>
      <c r="E283" s="106"/>
      <c r="F283" s="106">
        <f t="shared" si="251"/>
        <v>5700</v>
      </c>
      <c r="G283" s="109"/>
      <c r="H283" s="106">
        <f t="shared" si="252"/>
        <v>5700</v>
      </c>
      <c r="I283" s="109"/>
      <c r="J283" s="106">
        <f>I283+H283</f>
        <v>5700</v>
      </c>
      <c r="K283" s="110"/>
      <c r="L283" s="106">
        <f>K283+H283</f>
        <v>5700</v>
      </c>
      <c r="M283" s="109"/>
      <c r="N283" s="106">
        <f>M283+L283</f>
        <v>5700</v>
      </c>
      <c r="O283" s="106"/>
      <c r="P283" s="106">
        <f>O283+N283</f>
        <v>5700</v>
      </c>
      <c r="Q283" s="109"/>
      <c r="R283" s="106">
        <f>Q283+P283</f>
        <v>5700</v>
      </c>
      <c r="S283" s="109"/>
      <c r="T283" s="106">
        <f>S283+R283</f>
        <v>5700</v>
      </c>
      <c r="U283" s="109">
        <v>0</v>
      </c>
      <c r="V283" s="106">
        <f>U283+T283</f>
        <v>5700</v>
      </c>
      <c r="W283" s="109">
        <v>0</v>
      </c>
      <c r="X283" s="106">
        <f>W283+V283</f>
        <v>5700</v>
      </c>
      <c r="Y283" s="109">
        <v>0</v>
      </c>
      <c r="Z283" s="106">
        <f>Y283+X283</f>
        <v>5700</v>
      </c>
      <c r="AA283" s="109">
        <v>0</v>
      </c>
      <c r="AB283" s="106">
        <f>AA283+Z283</f>
        <v>5700</v>
      </c>
      <c r="AC283" s="109">
        <v>0</v>
      </c>
      <c r="AD283" s="106">
        <f>AC283+AB283</f>
        <v>5700</v>
      </c>
      <c r="AE283" s="109">
        <v>0</v>
      </c>
      <c r="AF283" s="106">
        <f>AE283+AD283</f>
        <v>5700</v>
      </c>
      <c r="AG283" s="147">
        <v>0</v>
      </c>
      <c r="AH283" s="106">
        <f>AG283+AF283</f>
        <v>5700</v>
      </c>
      <c r="AI283" s="109">
        <v>0</v>
      </c>
      <c r="AJ283" s="106">
        <f>AI283+AH283</f>
        <v>5700</v>
      </c>
      <c r="AK283" s="109">
        <v>0</v>
      </c>
      <c r="AL283" s="106">
        <f>AK283+AJ283</f>
        <v>5700</v>
      </c>
      <c r="AM283" s="109">
        <v>0</v>
      </c>
      <c r="AN283" s="106">
        <f>AM283+AL283</f>
        <v>5700</v>
      </c>
      <c r="AO283" s="106">
        <v>10924</v>
      </c>
      <c r="AP283" s="113">
        <v>698</v>
      </c>
      <c r="AQ283" s="243">
        <v>15178</v>
      </c>
      <c r="AR283" s="275"/>
      <c r="AS283" s="244">
        <f t="shared" si="288"/>
        <v>15178</v>
      </c>
      <c r="AT283" s="103"/>
      <c r="AU283" s="159">
        <f t="shared" si="250"/>
        <v>16.308739255014327</v>
      </c>
      <c r="AV283" s="103">
        <f t="shared" si="287"/>
        <v>930.6666666666666</v>
      </c>
    </row>
    <row r="284" spans="1:48" ht="12.75" hidden="1">
      <c r="A284" s="21"/>
      <c r="B284" s="27">
        <v>4300</v>
      </c>
      <c r="C284" s="18" t="s">
        <v>15</v>
      </c>
      <c r="D284" s="104">
        <v>21830</v>
      </c>
      <c r="E284" s="106"/>
      <c r="F284" s="106">
        <f t="shared" si="251"/>
        <v>21830</v>
      </c>
      <c r="G284" s="109"/>
      <c r="H284" s="106">
        <f t="shared" si="252"/>
        <v>21830</v>
      </c>
      <c r="I284" s="109"/>
      <c r="J284" s="106">
        <f>I284+H284</f>
        <v>21830</v>
      </c>
      <c r="K284" s="110"/>
      <c r="L284" s="106">
        <f>K284+H284</f>
        <v>21830</v>
      </c>
      <c r="M284" s="109"/>
      <c r="N284" s="106">
        <f>M284+L284</f>
        <v>21830</v>
      </c>
      <c r="O284" s="106"/>
      <c r="P284" s="106">
        <f>O284+N284</f>
        <v>21830</v>
      </c>
      <c r="Q284" s="109"/>
      <c r="R284" s="106">
        <f>Q284+P284</f>
        <v>21830</v>
      </c>
      <c r="S284" s="109"/>
      <c r="T284" s="106">
        <f>S284+R284</f>
        <v>21830</v>
      </c>
      <c r="U284" s="109">
        <v>0</v>
      </c>
      <c r="V284" s="106">
        <f>U284+T284</f>
        <v>21830</v>
      </c>
      <c r="W284" s="109">
        <v>0</v>
      </c>
      <c r="X284" s="106">
        <f>W284+V284</f>
        <v>21830</v>
      </c>
      <c r="Y284" s="109">
        <v>0</v>
      </c>
      <c r="Z284" s="106">
        <f>Y284+X284</f>
        <v>21830</v>
      </c>
      <c r="AA284" s="109">
        <v>3000</v>
      </c>
      <c r="AB284" s="106">
        <f>AA284+Z284</f>
        <v>24830</v>
      </c>
      <c r="AC284" s="109"/>
      <c r="AD284" s="106">
        <f>AC284+AB284</f>
        <v>24830</v>
      </c>
      <c r="AE284" s="109"/>
      <c r="AF284" s="106">
        <f>AE284+AD284</f>
        <v>24830</v>
      </c>
      <c r="AG284" s="147"/>
      <c r="AH284" s="106">
        <f>AG284+AF284</f>
        <v>24830</v>
      </c>
      <c r="AI284" s="109"/>
      <c r="AJ284" s="106">
        <f>AI284+AH284</f>
        <v>24830</v>
      </c>
      <c r="AK284" s="109"/>
      <c r="AL284" s="106">
        <f>AK284+AJ284</f>
        <v>24830</v>
      </c>
      <c r="AM284" s="109"/>
      <c r="AN284" s="106">
        <f>AM284+AL284</f>
        <v>24830</v>
      </c>
      <c r="AO284" s="106">
        <v>31854</v>
      </c>
      <c r="AP284" s="113">
        <v>17830</v>
      </c>
      <c r="AQ284" s="243">
        <v>44374</v>
      </c>
      <c r="AR284" s="275"/>
      <c r="AS284" s="244">
        <f t="shared" si="288"/>
        <v>44374</v>
      </c>
      <c r="AT284" s="103"/>
      <c r="AU284" s="159">
        <f t="shared" si="250"/>
        <v>1.8665451486259115</v>
      </c>
      <c r="AV284" s="103">
        <f t="shared" si="287"/>
        <v>23773.333333333332</v>
      </c>
    </row>
    <row r="285" spans="1:48" ht="12.75" hidden="1">
      <c r="A285" s="21"/>
      <c r="B285" s="27">
        <v>4410</v>
      </c>
      <c r="C285" s="18" t="s">
        <v>48</v>
      </c>
      <c r="D285" s="104">
        <v>4300</v>
      </c>
      <c r="E285" s="106"/>
      <c r="F285" s="106">
        <f t="shared" si="251"/>
        <v>4300</v>
      </c>
      <c r="G285" s="109"/>
      <c r="H285" s="106">
        <f t="shared" si="252"/>
        <v>4300</v>
      </c>
      <c r="I285" s="109"/>
      <c r="J285" s="106">
        <f>I285+H285</f>
        <v>4300</v>
      </c>
      <c r="K285" s="110"/>
      <c r="L285" s="106">
        <f>K285+H285</f>
        <v>4300</v>
      </c>
      <c r="M285" s="109"/>
      <c r="N285" s="106">
        <f>M285+L285</f>
        <v>4300</v>
      </c>
      <c r="O285" s="106"/>
      <c r="P285" s="106">
        <f>O285+N285</f>
        <v>4300</v>
      </c>
      <c r="Q285" s="109"/>
      <c r="R285" s="106">
        <f>Q285+P285</f>
        <v>4300</v>
      </c>
      <c r="S285" s="109"/>
      <c r="T285" s="106">
        <f>S285+R285</f>
        <v>4300</v>
      </c>
      <c r="U285" s="109">
        <v>0</v>
      </c>
      <c r="V285" s="106">
        <f>U285+T285</f>
        <v>4300</v>
      </c>
      <c r="W285" s="109">
        <v>0</v>
      </c>
      <c r="X285" s="106">
        <f>W285+V285</f>
        <v>4300</v>
      </c>
      <c r="Y285" s="109">
        <v>0</v>
      </c>
      <c r="Z285" s="106">
        <f>Y285+X285</f>
        <v>4300</v>
      </c>
      <c r="AA285" s="109">
        <v>0</v>
      </c>
      <c r="AB285" s="106">
        <f>AA285+Z285</f>
        <v>4300</v>
      </c>
      <c r="AC285" s="109">
        <v>0</v>
      </c>
      <c r="AD285" s="106">
        <f>AC285+AB285</f>
        <v>4300</v>
      </c>
      <c r="AE285" s="109">
        <v>0</v>
      </c>
      <c r="AF285" s="106">
        <f>AE285+AD285</f>
        <v>4300</v>
      </c>
      <c r="AG285" s="147">
        <v>0</v>
      </c>
      <c r="AH285" s="106">
        <f>AG285+AF285</f>
        <v>4300</v>
      </c>
      <c r="AI285" s="109">
        <v>0</v>
      </c>
      <c r="AJ285" s="106">
        <f>AI285+AH285</f>
        <v>4300</v>
      </c>
      <c r="AK285" s="109">
        <v>0</v>
      </c>
      <c r="AL285" s="106">
        <f>AK285+AJ285</f>
        <v>4300</v>
      </c>
      <c r="AM285" s="109">
        <v>0</v>
      </c>
      <c r="AN285" s="106">
        <f>AM285+AL285</f>
        <v>4300</v>
      </c>
      <c r="AO285" s="106">
        <v>2934</v>
      </c>
      <c r="AP285" s="113">
        <v>1055</v>
      </c>
      <c r="AQ285" s="243">
        <v>6925</v>
      </c>
      <c r="AR285" s="275"/>
      <c r="AS285" s="244">
        <f t="shared" si="288"/>
        <v>6925</v>
      </c>
      <c r="AT285" s="103"/>
      <c r="AU285" s="159">
        <f t="shared" si="250"/>
        <v>4.922985781990521</v>
      </c>
      <c r="AV285" s="103">
        <f t="shared" si="287"/>
        <v>1406.6666666666667</v>
      </c>
    </row>
    <row r="286" spans="1:48" ht="12.75" hidden="1">
      <c r="A286" s="31">
        <v>80148</v>
      </c>
      <c r="B286" s="26"/>
      <c r="C286" s="19" t="s">
        <v>84</v>
      </c>
      <c r="D286" s="190">
        <f aca="true" t="shared" si="293" ref="D286:J286">SUM(D287:D302)</f>
        <v>220981</v>
      </c>
      <c r="E286" s="190">
        <f t="shared" si="293"/>
        <v>0</v>
      </c>
      <c r="F286" s="190">
        <f t="shared" si="293"/>
        <v>220981</v>
      </c>
      <c r="G286" s="190">
        <f t="shared" si="293"/>
        <v>0</v>
      </c>
      <c r="H286" s="190">
        <f t="shared" si="293"/>
        <v>220981</v>
      </c>
      <c r="I286" s="190">
        <f t="shared" si="293"/>
        <v>0</v>
      </c>
      <c r="J286" s="190">
        <f t="shared" si="293"/>
        <v>220981</v>
      </c>
      <c r="K286" s="110"/>
      <c r="L286" s="190">
        <f>SUM(L287:L302)</f>
        <v>220981</v>
      </c>
      <c r="M286" s="109"/>
      <c r="N286" s="190">
        <f>SUM(N287:N302)</f>
        <v>220981</v>
      </c>
      <c r="O286" s="190"/>
      <c r="P286" s="190">
        <f>SUM(P287:P302)</f>
        <v>220981</v>
      </c>
      <c r="Q286" s="109"/>
      <c r="R286" s="190">
        <f>SUM(R287:R302)</f>
        <v>220981</v>
      </c>
      <c r="S286" s="109"/>
      <c r="T286" s="190">
        <f>SUM(T287:T302)</f>
        <v>220981</v>
      </c>
      <c r="U286" s="109"/>
      <c r="V286" s="190">
        <f>SUM(V287:V302)</f>
        <v>220981</v>
      </c>
      <c r="W286" s="109"/>
      <c r="X286" s="190">
        <f>SUM(X287:X302)</f>
        <v>220981</v>
      </c>
      <c r="Y286" s="109"/>
      <c r="Z286" s="190">
        <f>SUM(Z287:Z302)</f>
        <v>220981</v>
      </c>
      <c r="AA286" s="109"/>
      <c r="AB286" s="190">
        <f>SUM(AB287:AB302)</f>
        <v>220981</v>
      </c>
      <c r="AC286" s="109"/>
      <c r="AD286" s="190">
        <f>SUM(AD287:AD302)</f>
        <v>220981</v>
      </c>
      <c r="AE286" s="109"/>
      <c r="AF286" s="190">
        <f>SUM(AF287:AF302)</f>
        <v>220981</v>
      </c>
      <c r="AG286" s="147"/>
      <c r="AH286" s="190">
        <f>SUM(AH287:AH302)</f>
        <v>220981</v>
      </c>
      <c r="AI286" s="109"/>
      <c r="AJ286" s="190">
        <f aca="true" t="shared" si="294" ref="AJ286:AQ286">SUM(AJ287:AJ302)</f>
        <v>220981</v>
      </c>
      <c r="AK286" s="190">
        <f t="shared" si="294"/>
        <v>2000</v>
      </c>
      <c r="AL286" s="190">
        <f t="shared" si="294"/>
        <v>222981</v>
      </c>
      <c r="AM286" s="190">
        <f t="shared" si="294"/>
        <v>0</v>
      </c>
      <c r="AN286" s="190">
        <f t="shared" si="294"/>
        <v>222981</v>
      </c>
      <c r="AO286" s="190">
        <f t="shared" si="294"/>
        <v>167207</v>
      </c>
      <c r="AP286" s="81">
        <f t="shared" si="294"/>
        <v>116723.6</v>
      </c>
      <c r="AQ286" s="247">
        <f t="shared" si="294"/>
        <v>234174</v>
      </c>
      <c r="AR286" s="274"/>
      <c r="AS286" s="244">
        <f t="shared" si="288"/>
        <v>234174</v>
      </c>
      <c r="AT286" s="103"/>
      <c r="AU286" s="159">
        <f t="shared" si="250"/>
        <v>1.504670006750991</v>
      </c>
      <c r="AV286" s="103">
        <f t="shared" si="287"/>
        <v>155631.46666666667</v>
      </c>
    </row>
    <row r="287" spans="1:48" ht="12.75" hidden="1">
      <c r="A287" s="31"/>
      <c r="B287" s="27">
        <v>3020</v>
      </c>
      <c r="C287" s="18" t="s">
        <v>73</v>
      </c>
      <c r="D287" s="104">
        <v>1800</v>
      </c>
      <c r="E287" s="106"/>
      <c r="F287" s="106">
        <f t="shared" si="251"/>
        <v>1800</v>
      </c>
      <c r="G287" s="109"/>
      <c r="H287" s="106">
        <f t="shared" si="252"/>
        <v>1800</v>
      </c>
      <c r="I287" s="109"/>
      <c r="J287" s="106">
        <f aca="true" t="shared" si="295" ref="J287:J302">I287+H287</f>
        <v>1800</v>
      </c>
      <c r="K287" s="110"/>
      <c r="L287" s="106">
        <f aca="true" t="shared" si="296" ref="L287:L302">K287+H287</f>
        <v>1800</v>
      </c>
      <c r="M287" s="109"/>
      <c r="N287" s="106">
        <f aca="true" t="shared" si="297" ref="N287:R302">M287+L287</f>
        <v>1800</v>
      </c>
      <c r="O287" s="106"/>
      <c r="P287" s="106">
        <f t="shared" si="297"/>
        <v>1800</v>
      </c>
      <c r="Q287" s="109"/>
      <c r="R287" s="106">
        <f t="shared" si="297"/>
        <v>1800</v>
      </c>
      <c r="S287" s="109"/>
      <c r="T287" s="106">
        <f aca="true" t="shared" si="298" ref="T287:T302">S287+R287</f>
        <v>1800</v>
      </c>
      <c r="U287" s="109"/>
      <c r="V287" s="106">
        <f aca="true" t="shared" si="299" ref="V287:V302">U287+T287</f>
        <v>1800</v>
      </c>
      <c r="W287" s="109"/>
      <c r="X287" s="106">
        <f aca="true" t="shared" si="300" ref="X287:X302">W287+V287</f>
        <v>1800</v>
      </c>
      <c r="Y287" s="109"/>
      <c r="Z287" s="106">
        <f aca="true" t="shared" si="301" ref="Z287:Z302">Y287+X287</f>
        <v>1800</v>
      </c>
      <c r="AA287" s="109"/>
      <c r="AB287" s="106">
        <f aca="true" t="shared" si="302" ref="AB287:AB302">AA287+Z287</f>
        <v>1800</v>
      </c>
      <c r="AC287" s="109"/>
      <c r="AD287" s="106">
        <f aca="true" t="shared" si="303" ref="AD287:AD302">AC287+AB287</f>
        <v>1800</v>
      </c>
      <c r="AE287" s="109"/>
      <c r="AF287" s="106">
        <f aca="true" t="shared" si="304" ref="AF287:AF302">AE287+AD287</f>
        <v>1800</v>
      </c>
      <c r="AG287" s="147"/>
      <c r="AH287" s="106">
        <f aca="true" t="shared" si="305" ref="AH287:AH302">AG287+AF287</f>
        <v>1800</v>
      </c>
      <c r="AI287" s="109"/>
      <c r="AJ287" s="106">
        <f aca="true" t="shared" si="306" ref="AJ287:AJ302">AI287+AH287</f>
        <v>1800</v>
      </c>
      <c r="AK287" s="109"/>
      <c r="AL287" s="106">
        <f aca="true" t="shared" si="307" ref="AL287:AL302">AK287+AJ287</f>
        <v>1800</v>
      </c>
      <c r="AM287" s="109"/>
      <c r="AN287" s="106">
        <f aca="true" t="shared" si="308" ref="AN287:AN302">AM287+AL287</f>
        <v>1800</v>
      </c>
      <c r="AO287" s="106">
        <v>787</v>
      </c>
      <c r="AP287" s="113">
        <v>300</v>
      </c>
      <c r="AQ287" s="243">
        <v>2000</v>
      </c>
      <c r="AR287" s="275"/>
      <c r="AS287" s="244">
        <f t="shared" si="288"/>
        <v>2000</v>
      </c>
      <c r="AT287" s="103"/>
      <c r="AU287" s="159">
        <f t="shared" si="250"/>
        <v>5</v>
      </c>
      <c r="AV287" s="103">
        <f t="shared" si="287"/>
        <v>400</v>
      </c>
    </row>
    <row r="288" spans="1:48" ht="12.75" hidden="1">
      <c r="A288" s="31"/>
      <c r="B288" s="27">
        <v>4010</v>
      </c>
      <c r="C288" s="18" t="s">
        <v>37</v>
      </c>
      <c r="D288" s="104">
        <v>90930</v>
      </c>
      <c r="E288" s="106"/>
      <c r="F288" s="106">
        <f t="shared" si="251"/>
        <v>90930</v>
      </c>
      <c r="G288" s="109"/>
      <c r="H288" s="106">
        <f t="shared" si="252"/>
        <v>90930</v>
      </c>
      <c r="I288" s="109"/>
      <c r="J288" s="106">
        <f t="shared" si="295"/>
        <v>90930</v>
      </c>
      <c r="K288" s="110"/>
      <c r="L288" s="106">
        <f t="shared" si="296"/>
        <v>90930</v>
      </c>
      <c r="M288" s="109"/>
      <c r="N288" s="106">
        <f t="shared" si="297"/>
        <v>90930</v>
      </c>
      <c r="O288" s="106"/>
      <c r="P288" s="106">
        <f t="shared" si="297"/>
        <v>90930</v>
      </c>
      <c r="Q288" s="109"/>
      <c r="R288" s="106">
        <f t="shared" si="297"/>
        <v>90930</v>
      </c>
      <c r="S288" s="109"/>
      <c r="T288" s="106">
        <f t="shared" si="298"/>
        <v>90930</v>
      </c>
      <c r="U288" s="109"/>
      <c r="V288" s="106">
        <f t="shared" si="299"/>
        <v>90930</v>
      </c>
      <c r="W288" s="109"/>
      <c r="X288" s="106">
        <f t="shared" si="300"/>
        <v>90930</v>
      </c>
      <c r="Y288" s="109"/>
      <c r="Z288" s="106">
        <f t="shared" si="301"/>
        <v>90930</v>
      </c>
      <c r="AA288" s="109"/>
      <c r="AB288" s="106">
        <f t="shared" si="302"/>
        <v>90930</v>
      </c>
      <c r="AC288" s="109"/>
      <c r="AD288" s="106">
        <f t="shared" si="303"/>
        <v>90930</v>
      </c>
      <c r="AE288" s="109"/>
      <c r="AF288" s="106">
        <f t="shared" si="304"/>
        <v>90930</v>
      </c>
      <c r="AG288" s="147"/>
      <c r="AH288" s="106">
        <f t="shared" si="305"/>
        <v>90930</v>
      </c>
      <c r="AI288" s="109"/>
      <c r="AJ288" s="106">
        <f t="shared" si="306"/>
        <v>90930</v>
      </c>
      <c r="AK288" s="109"/>
      <c r="AL288" s="106">
        <f t="shared" si="307"/>
        <v>90930</v>
      </c>
      <c r="AM288" s="109"/>
      <c r="AN288" s="106">
        <f t="shared" si="308"/>
        <v>90930</v>
      </c>
      <c r="AO288" s="106">
        <v>77756</v>
      </c>
      <c r="AP288" s="113">
        <v>57007</v>
      </c>
      <c r="AQ288" s="243">
        <v>91839</v>
      </c>
      <c r="AR288" s="275"/>
      <c r="AS288" s="244">
        <f t="shared" si="288"/>
        <v>91839</v>
      </c>
      <c r="AT288" s="103"/>
      <c r="AU288" s="159">
        <f t="shared" si="250"/>
        <v>1.2082595119897557</v>
      </c>
      <c r="AV288" s="103">
        <f>AN288*101%</f>
        <v>91839.3</v>
      </c>
    </row>
    <row r="289" spans="1:48" ht="12.75" hidden="1">
      <c r="A289" s="31"/>
      <c r="B289" s="27">
        <v>4040</v>
      </c>
      <c r="C289" s="18" t="s">
        <v>38</v>
      </c>
      <c r="D289" s="104">
        <v>6500</v>
      </c>
      <c r="E289" s="106"/>
      <c r="F289" s="106">
        <f t="shared" si="251"/>
        <v>6500</v>
      </c>
      <c r="G289" s="109"/>
      <c r="H289" s="106">
        <f t="shared" si="252"/>
        <v>6500</v>
      </c>
      <c r="I289" s="109"/>
      <c r="J289" s="106">
        <f t="shared" si="295"/>
        <v>6500</v>
      </c>
      <c r="K289" s="110"/>
      <c r="L289" s="106">
        <f t="shared" si="296"/>
        <v>6500</v>
      </c>
      <c r="M289" s="109"/>
      <c r="N289" s="106">
        <f t="shared" si="297"/>
        <v>6500</v>
      </c>
      <c r="O289" s="106"/>
      <c r="P289" s="106">
        <f t="shared" si="297"/>
        <v>6500</v>
      </c>
      <c r="Q289" s="109"/>
      <c r="R289" s="106">
        <f t="shared" si="297"/>
        <v>6500</v>
      </c>
      <c r="S289" s="109"/>
      <c r="T289" s="106">
        <f t="shared" si="298"/>
        <v>6500</v>
      </c>
      <c r="U289" s="109"/>
      <c r="V289" s="106">
        <f t="shared" si="299"/>
        <v>6500</v>
      </c>
      <c r="W289" s="109"/>
      <c r="X289" s="106">
        <f t="shared" si="300"/>
        <v>6500</v>
      </c>
      <c r="Y289" s="109"/>
      <c r="Z289" s="106">
        <f t="shared" si="301"/>
        <v>6500</v>
      </c>
      <c r="AA289" s="109"/>
      <c r="AB289" s="106">
        <f t="shared" si="302"/>
        <v>6500</v>
      </c>
      <c r="AC289" s="109"/>
      <c r="AD289" s="106">
        <f t="shared" si="303"/>
        <v>6500</v>
      </c>
      <c r="AE289" s="109"/>
      <c r="AF289" s="106">
        <f t="shared" si="304"/>
        <v>6500</v>
      </c>
      <c r="AG289" s="147"/>
      <c r="AH289" s="106">
        <f t="shared" si="305"/>
        <v>6500</v>
      </c>
      <c r="AI289" s="109"/>
      <c r="AJ289" s="106">
        <f t="shared" si="306"/>
        <v>6500</v>
      </c>
      <c r="AK289" s="109"/>
      <c r="AL289" s="106">
        <f t="shared" si="307"/>
        <v>6500</v>
      </c>
      <c r="AM289" s="109"/>
      <c r="AN289" s="106">
        <f t="shared" si="308"/>
        <v>6500</v>
      </c>
      <c r="AO289" s="106">
        <v>3725</v>
      </c>
      <c r="AP289" s="113">
        <v>6452</v>
      </c>
      <c r="AQ289" s="243">
        <v>8500</v>
      </c>
      <c r="AR289" s="275"/>
      <c r="AS289" s="244">
        <f t="shared" si="288"/>
        <v>8500</v>
      </c>
      <c r="AT289" s="103"/>
      <c r="AU289" s="159">
        <f t="shared" si="250"/>
        <v>0.9880657160570366</v>
      </c>
      <c r="AV289" s="103">
        <f t="shared" si="287"/>
        <v>8602.666666666666</v>
      </c>
    </row>
    <row r="290" spans="1:48" ht="12.75" hidden="1">
      <c r="A290" s="31"/>
      <c r="B290" s="27">
        <v>4110</v>
      </c>
      <c r="C290" s="18" t="s">
        <v>39</v>
      </c>
      <c r="D290" s="104">
        <v>14829</v>
      </c>
      <c r="E290" s="106"/>
      <c r="F290" s="106">
        <f t="shared" si="251"/>
        <v>14829</v>
      </c>
      <c r="G290" s="109"/>
      <c r="H290" s="106">
        <f t="shared" si="252"/>
        <v>14829</v>
      </c>
      <c r="I290" s="109"/>
      <c r="J290" s="106">
        <f t="shared" si="295"/>
        <v>14829</v>
      </c>
      <c r="K290" s="110"/>
      <c r="L290" s="106">
        <f t="shared" si="296"/>
        <v>14829</v>
      </c>
      <c r="M290" s="109"/>
      <c r="N290" s="106">
        <f t="shared" si="297"/>
        <v>14829</v>
      </c>
      <c r="O290" s="106"/>
      <c r="P290" s="106">
        <f t="shared" si="297"/>
        <v>14829</v>
      </c>
      <c r="Q290" s="109"/>
      <c r="R290" s="106">
        <f t="shared" si="297"/>
        <v>14829</v>
      </c>
      <c r="S290" s="109"/>
      <c r="T290" s="106">
        <f t="shared" si="298"/>
        <v>14829</v>
      </c>
      <c r="U290" s="109"/>
      <c r="V290" s="106">
        <f t="shared" si="299"/>
        <v>14829</v>
      </c>
      <c r="W290" s="109"/>
      <c r="X290" s="106">
        <f t="shared" si="300"/>
        <v>14829</v>
      </c>
      <c r="Y290" s="109"/>
      <c r="Z290" s="106">
        <f t="shared" si="301"/>
        <v>14829</v>
      </c>
      <c r="AA290" s="109"/>
      <c r="AB290" s="106">
        <f t="shared" si="302"/>
        <v>14829</v>
      </c>
      <c r="AC290" s="109"/>
      <c r="AD290" s="106">
        <f t="shared" si="303"/>
        <v>14829</v>
      </c>
      <c r="AE290" s="109"/>
      <c r="AF290" s="106">
        <f t="shared" si="304"/>
        <v>14829</v>
      </c>
      <c r="AG290" s="147"/>
      <c r="AH290" s="106">
        <f t="shared" si="305"/>
        <v>14829</v>
      </c>
      <c r="AI290" s="109"/>
      <c r="AJ290" s="106">
        <f t="shared" si="306"/>
        <v>14829</v>
      </c>
      <c r="AK290" s="109"/>
      <c r="AL290" s="106">
        <f t="shared" si="307"/>
        <v>14829</v>
      </c>
      <c r="AM290" s="109"/>
      <c r="AN290" s="106">
        <f t="shared" si="308"/>
        <v>14829</v>
      </c>
      <c r="AO290" s="106">
        <v>12630</v>
      </c>
      <c r="AP290" s="113">
        <v>9365</v>
      </c>
      <c r="AQ290" s="243">
        <v>17495</v>
      </c>
      <c r="AR290" s="275"/>
      <c r="AS290" s="244">
        <f t="shared" si="288"/>
        <v>17495</v>
      </c>
      <c r="AT290" s="103"/>
      <c r="AU290" s="159">
        <f aca="true" t="shared" si="309" ref="AU290:AU325">AQ290/(AP290/3*4)</f>
        <v>1.4010945008008544</v>
      </c>
      <c r="AV290" s="103">
        <f t="shared" si="287"/>
        <v>12486.666666666666</v>
      </c>
    </row>
    <row r="291" spans="1:48" ht="12.75" hidden="1">
      <c r="A291" s="31"/>
      <c r="B291" s="27">
        <v>4120</v>
      </c>
      <c r="C291" s="18" t="s">
        <v>40</v>
      </c>
      <c r="D291" s="104">
        <v>2388</v>
      </c>
      <c r="E291" s="106"/>
      <c r="F291" s="106">
        <f t="shared" si="251"/>
        <v>2388</v>
      </c>
      <c r="G291" s="109"/>
      <c r="H291" s="106">
        <f t="shared" si="252"/>
        <v>2388</v>
      </c>
      <c r="I291" s="109"/>
      <c r="J291" s="106">
        <f t="shared" si="295"/>
        <v>2388</v>
      </c>
      <c r="K291" s="110"/>
      <c r="L291" s="106">
        <f t="shared" si="296"/>
        <v>2388</v>
      </c>
      <c r="M291" s="109"/>
      <c r="N291" s="106">
        <f t="shared" si="297"/>
        <v>2388</v>
      </c>
      <c r="O291" s="106"/>
      <c r="P291" s="106">
        <f t="shared" si="297"/>
        <v>2388</v>
      </c>
      <c r="Q291" s="109"/>
      <c r="R291" s="106">
        <f t="shared" si="297"/>
        <v>2388</v>
      </c>
      <c r="S291" s="109"/>
      <c r="T291" s="106">
        <f t="shared" si="298"/>
        <v>2388</v>
      </c>
      <c r="U291" s="109"/>
      <c r="V291" s="106">
        <f t="shared" si="299"/>
        <v>2388</v>
      </c>
      <c r="W291" s="109"/>
      <c r="X291" s="106">
        <f t="shared" si="300"/>
        <v>2388</v>
      </c>
      <c r="Y291" s="109"/>
      <c r="Z291" s="106">
        <f t="shared" si="301"/>
        <v>2388</v>
      </c>
      <c r="AA291" s="109"/>
      <c r="AB291" s="106">
        <f t="shared" si="302"/>
        <v>2388</v>
      </c>
      <c r="AC291" s="109"/>
      <c r="AD291" s="106">
        <f t="shared" si="303"/>
        <v>2388</v>
      </c>
      <c r="AE291" s="109"/>
      <c r="AF291" s="106">
        <f t="shared" si="304"/>
        <v>2388</v>
      </c>
      <c r="AG291" s="147"/>
      <c r="AH291" s="106">
        <f t="shared" si="305"/>
        <v>2388</v>
      </c>
      <c r="AI291" s="109"/>
      <c r="AJ291" s="106">
        <f t="shared" si="306"/>
        <v>2388</v>
      </c>
      <c r="AK291" s="109"/>
      <c r="AL291" s="106">
        <f t="shared" si="307"/>
        <v>2388</v>
      </c>
      <c r="AM291" s="109"/>
      <c r="AN291" s="106">
        <f t="shared" si="308"/>
        <v>2388</v>
      </c>
      <c r="AO291" s="106">
        <v>1978</v>
      </c>
      <c r="AP291" s="113">
        <v>1514</v>
      </c>
      <c r="AQ291" s="243">
        <v>2839</v>
      </c>
      <c r="AR291" s="275"/>
      <c r="AS291" s="244">
        <f t="shared" si="288"/>
        <v>2839</v>
      </c>
      <c r="AT291" s="103"/>
      <c r="AU291" s="159">
        <f t="shared" si="309"/>
        <v>1.4063738441215323</v>
      </c>
      <c r="AV291" s="103">
        <f t="shared" si="287"/>
        <v>2018.6666666666667</v>
      </c>
    </row>
    <row r="292" spans="1:48" ht="12.75" hidden="1">
      <c r="A292" s="31"/>
      <c r="B292" s="27">
        <v>4210</v>
      </c>
      <c r="C292" s="18" t="s">
        <v>14</v>
      </c>
      <c r="D292" s="104">
        <v>8000</v>
      </c>
      <c r="E292" s="106"/>
      <c r="F292" s="106">
        <f t="shared" si="251"/>
        <v>8000</v>
      </c>
      <c r="G292" s="109"/>
      <c r="H292" s="106">
        <f t="shared" si="252"/>
        <v>8000</v>
      </c>
      <c r="I292" s="109"/>
      <c r="J292" s="106">
        <f t="shared" si="295"/>
        <v>8000</v>
      </c>
      <c r="K292" s="110"/>
      <c r="L292" s="106">
        <f t="shared" si="296"/>
        <v>8000</v>
      </c>
      <c r="M292" s="109"/>
      <c r="N292" s="106">
        <f t="shared" si="297"/>
        <v>8000</v>
      </c>
      <c r="O292" s="106"/>
      <c r="P292" s="106">
        <f t="shared" si="297"/>
        <v>8000</v>
      </c>
      <c r="Q292" s="109"/>
      <c r="R292" s="106">
        <f t="shared" si="297"/>
        <v>8000</v>
      </c>
      <c r="S292" s="109"/>
      <c r="T292" s="106">
        <f t="shared" si="298"/>
        <v>8000</v>
      </c>
      <c r="U292" s="109"/>
      <c r="V292" s="106">
        <f t="shared" si="299"/>
        <v>8000</v>
      </c>
      <c r="W292" s="109"/>
      <c r="X292" s="106">
        <f t="shared" si="300"/>
        <v>8000</v>
      </c>
      <c r="Y292" s="109"/>
      <c r="Z292" s="106">
        <f t="shared" si="301"/>
        <v>8000</v>
      </c>
      <c r="AA292" s="109"/>
      <c r="AB292" s="106">
        <f t="shared" si="302"/>
        <v>8000</v>
      </c>
      <c r="AC292" s="109"/>
      <c r="AD292" s="106">
        <f t="shared" si="303"/>
        <v>8000</v>
      </c>
      <c r="AE292" s="109"/>
      <c r="AF292" s="106">
        <f t="shared" si="304"/>
        <v>8000</v>
      </c>
      <c r="AG292" s="147"/>
      <c r="AH292" s="106">
        <f t="shared" si="305"/>
        <v>8000</v>
      </c>
      <c r="AI292" s="109"/>
      <c r="AJ292" s="106">
        <f t="shared" si="306"/>
        <v>8000</v>
      </c>
      <c r="AK292" s="109"/>
      <c r="AL292" s="106">
        <f t="shared" si="307"/>
        <v>8000</v>
      </c>
      <c r="AM292" s="109"/>
      <c r="AN292" s="106">
        <f t="shared" si="308"/>
        <v>8000</v>
      </c>
      <c r="AO292" s="106">
        <v>5460</v>
      </c>
      <c r="AP292" s="113">
        <v>3066</v>
      </c>
      <c r="AQ292" s="243">
        <v>8000</v>
      </c>
      <c r="AR292" s="275"/>
      <c r="AS292" s="244">
        <f t="shared" si="288"/>
        <v>8000</v>
      </c>
      <c r="AT292" s="103"/>
      <c r="AU292" s="159">
        <f t="shared" si="309"/>
        <v>1.9569471624266144</v>
      </c>
      <c r="AV292" s="103">
        <f t="shared" si="287"/>
        <v>4088</v>
      </c>
    </row>
    <row r="293" spans="1:48" ht="12.75" hidden="1">
      <c r="A293" s="31"/>
      <c r="B293" s="27">
        <v>4220</v>
      </c>
      <c r="C293" s="18" t="s">
        <v>78</v>
      </c>
      <c r="D293" s="104">
        <v>80000</v>
      </c>
      <c r="E293" s="106"/>
      <c r="F293" s="106">
        <f t="shared" si="251"/>
        <v>80000</v>
      </c>
      <c r="G293" s="109"/>
      <c r="H293" s="106">
        <f t="shared" si="252"/>
        <v>80000</v>
      </c>
      <c r="I293" s="109"/>
      <c r="J293" s="106">
        <f t="shared" si="295"/>
        <v>80000</v>
      </c>
      <c r="K293" s="110"/>
      <c r="L293" s="106">
        <f t="shared" si="296"/>
        <v>80000</v>
      </c>
      <c r="M293" s="109"/>
      <c r="N293" s="106">
        <f t="shared" si="297"/>
        <v>80000</v>
      </c>
      <c r="O293" s="106"/>
      <c r="P293" s="106">
        <f t="shared" si="297"/>
        <v>80000</v>
      </c>
      <c r="Q293" s="109"/>
      <c r="R293" s="106">
        <f t="shared" si="297"/>
        <v>80000</v>
      </c>
      <c r="S293" s="109"/>
      <c r="T293" s="106">
        <f t="shared" si="298"/>
        <v>80000</v>
      </c>
      <c r="U293" s="109"/>
      <c r="V293" s="106">
        <f t="shared" si="299"/>
        <v>80000</v>
      </c>
      <c r="W293" s="109"/>
      <c r="X293" s="106">
        <f t="shared" si="300"/>
        <v>80000</v>
      </c>
      <c r="Y293" s="109"/>
      <c r="Z293" s="106">
        <f t="shared" si="301"/>
        <v>80000</v>
      </c>
      <c r="AA293" s="109"/>
      <c r="AB293" s="106">
        <f t="shared" si="302"/>
        <v>80000</v>
      </c>
      <c r="AC293" s="109"/>
      <c r="AD293" s="106">
        <f t="shared" si="303"/>
        <v>80000</v>
      </c>
      <c r="AE293" s="109"/>
      <c r="AF293" s="106">
        <f t="shared" si="304"/>
        <v>80000</v>
      </c>
      <c r="AG293" s="147"/>
      <c r="AH293" s="106">
        <f t="shared" si="305"/>
        <v>80000</v>
      </c>
      <c r="AI293" s="109"/>
      <c r="AJ293" s="106">
        <f t="shared" si="306"/>
        <v>80000</v>
      </c>
      <c r="AK293" s="109"/>
      <c r="AL293" s="106">
        <f t="shared" si="307"/>
        <v>80000</v>
      </c>
      <c r="AM293" s="109"/>
      <c r="AN293" s="106">
        <f t="shared" si="308"/>
        <v>80000</v>
      </c>
      <c r="AO293" s="106">
        <v>59497</v>
      </c>
      <c r="AP293" s="113">
        <v>35460</v>
      </c>
      <c r="AQ293" s="243">
        <v>90000</v>
      </c>
      <c r="AR293" s="275"/>
      <c r="AS293" s="244">
        <f t="shared" si="288"/>
        <v>90000</v>
      </c>
      <c r="AT293" s="103"/>
      <c r="AU293" s="159">
        <f t="shared" si="309"/>
        <v>1.9035532994923858</v>
      </c>
      <c r="AV293" s="103">
        <f t="shared" si="287"/>
        <v>47280</v>
      </c>
    </row>
    <row r="294" spans="1:48" ht="12.75" hidden="1">
      <c r="A294" s="31"/>
      <c r="B294" s="27">
        <v>4260</v>
      </c>
      <c r="C294" s="18" t="s">
        <v>43</v>
      </c>
      <c r="D294" s="104"/>
      <c r="E294" s="106"/>
      <c r="F294" s="106"/>
      <c r="G294" s="109"/>
      <c r="H294" s="106"/>
      <c r="I294" s="109"/>
      <c r="J294" s="106"/>
      <c r="K294" s="110"/>
      <c r="L294" s="106"/>
      <c r="M294" s="109"/>
      <c r="N294" s="106"/>
      <c r="O294" s="106"/>
      <c r="P294" s="106"/>
      <c r="Q294" s="109"/>
      <c r="R294" s="106"/>
      <c r="S294" s="109"/>
      <c r="T294" s="106"/>
      <c r="U294" s="109"/>
      <c r="V294" s="106"/>
      <c r="W294" s="109"/>
      <c r="X294" s="106"/>
      <c r="Y294" s="109"/>
      <c r="Z294" s="106"/>
      <c r="AA294" s="109"/>
      <c r="AB294" s="106"/>
      <c r="AC294" s="109"/>
      <c r="AD294" s="106"/>
      <c r="AE294" s="109"/>
      <c r="AF294" s="106"/>
      <c r="AG294" s="147"/>
      <c r="AH294" s="106"/>
      <c r="AI294" s="109"/>
      <c r="AJ294" s="106"/>
      <c r="AK294" s="109"/>
      <c r="AL294" s="106"/>
      <c r="AM294" s="109"/>
      <c r="AN294" s="106"/>
      <c r="AO294" s="106"/>
      <c r="AP294" s="113"/>
      <c r="AQ294" s="243">
        <v>1500</v>
      </c>
      <c r="AR294" s="275"/>
      <c r="AS294" s="244">
        <f t="shared" si="288"/>
        <v>1500</v>
      </c>
      <c r="AT294" s="103"/>
      <c r="AU294" s="159"/>
      <c r="AV294" s="103"/>
    </row>
    <row r="295" spans="1:48" ht="12.75" hidden="1">
      <c r="A295" s="31"/>
      <c r="B295" s="27">
        <v>4270</v>
      </c>
      <c r="C295" s="18" t="s">
        <v>24</v>
      </c>
      <c r="D295" s="104">
        <v>2000</v>
      </c>
      <c r="E295" s="106"/>
      <c r="F295" s="106">
        <f t="shared" si="251"/>
        <v>2000</v>
      </c>
      <c r="G295" s="109"/>
      <c r="H295" s="106">
        <f t="shared" si="252"/>
        <v>2000</v>
      </c>
      <c r="I295" s="109"/>
      <c r="J295" s="106">
        <f t="shared" si="295"/>
        <v>2000</v>
      </c>
      <c r="K295" s="110"/>
      <c r="L295" s="106">
        <f t="shared" si="296"/>
        <v>2000</v>
      </c>
      <c r="M295" s="109"/>
      <c r="N295" s="106">
        <f t="shared" si="297"/>
        <v>2000</v>
      </c>
      <c r="O295" s="106"/>
      <c r="P295" s="106">
        <f t="shared" si="297"/>
        <v>2000</v>
      </c>
      <c r="Q295" s="109"/>
      <c r="R295" s="106">
        <f t="shared" si="297"/>
        <v>2000</v>
      </c>
      <c r="S295" s="109"/>
      <c r="T295" s="106">
        <f t="shared" si="298"/>
        <v>2000</v>
      </c>
      <c r="U295" s="109"/>
      <c r="V295" s="106">
        <f t="shared" si="299"/>
        <v>2000</v>
      </c>
      <c r="W295" s="109"/>
      <c r="X295" s="106">
        <f t="shared" si="300"/>
        <v>2000</v>
      </c>
      <c r="Y295" s="109"/>
      <c r="Z295" s="106">
        <f t="shared" si="301"/>
        <v>2000</v>
      </c>
      <c r="AA295" s="109"/>
      <c r="AB295" s="106">
        <f t="shared" si="302"/>
        <v>2000</v>
      </c>
      <c r="AC295" s="109"/>
      <c r="AD295" s="106">
        <f t="shared" si="303"/>
        <v>2000</v>
      </c>
      <c r="AE295" s="109"/>
      <c r="AF295" s="106">
        <f t="shared" si="304"/>
        <v>2000</v>
      </c>
      <c r="AG295" s="147"/>
      <c r="AH295" s="106">
        <f t="shared" si="305"/>
        <v>2000</v>
      </c>
      <c r="AI295" s="109"/>
      <c r="AJ295" s="106">
        <f t="shared" si="306"/>
        <v>2000</v>
      </c>
      <c r="AK295" s="109">
        <v>2000</v>
      </c>
      <c r="AL295" s="106">
        <f t="shared" si="307"/>
        <v>4000</v>
      </c>
      <c r="AM295" s="109"/>
      <c r="AN295" s="106">
        <f t="shared" si="308"/>
        <v>4000</v>
      </c>
      <c r="AO295" s="106">
        <v>0</v>
      </c>
      <c r="AP295" s="113">
        <v>0</v>
      </c>
      <c r="AQ295" s="243">
        <f>4000-1500</f>
        <v>2500</v>
      </c>
      <c r="AR295" s="275"/>
      <c r="AS295" s="244">
        <f t="shared" si="288"/>
        <v>2500</v>
      </c>
      <c r="AT295" s="103"/>
      <c r="AU295" s="159" t="e">
        <f t="shared" si="309"/>
        <v>#DIV/0!</v>
      </c>
      <c r="AV295" s="103">
        <f t="shared" si="287"/>
        <v>0</v>
      </c>
    </row>
    <row r="296" spans="1:48" ht="12.75" hidden="1">
      <c r="A296" s="31"/>
      <c r="B296" s="27">
        <v>4280</v>
      </c>
      <c r="C296" s="18" t="s">
        <v>44</v>
      </c>
      <c r="D296" s="104">
        <v>1000</v>
      </c>
      <c r="E296" s="106"/>
      <c r="F296" s="106">
        <f aca="true" t="shared" si="310" ref="F296:F350">D296+E296</f>
        <v>1000</v>
      </c>
      <c r="G296" s="109"/>
      <c r="H296" s="106">
        <f aca="true" t="shared" si="311" ref="H296:H351">G296+F296</f>
        <v>1000</v>
      </c>
      <c r="I296" s="109"/>
      <c r="J296" s="106">
        <f t="shared" si="295"/>
        <v>1000</v>
      </c>
      <c r="K296" s="110"/>
      <c r="L296" s="106">
        <f t="shared" si="296"/>
        <v>1000</v>
      </c>
      <c r="M296" s="109"/>
      <c r="N296" s="106">
        <f t="shared" si="297"/>
        <v>1000</v>
      </c>
      <c r="O296" s="106"/>
      <c r="P296" s="106">
        <f t="shared" si="297"/>
        <v>1000</v>
      </c>
      <c r="Q296" s="109"/>
      <c r="R296" s="106">
        <f t="shared" si="297"/>
        <v>1000</v>
      </c>
      <c r="S296" s="109"/>
      <c r="T296" s="106">
        <f t="shared" si="298"/>
        <v>1000</v>
      </c>
      <c r="U296" s="109"/>
      <c r="V296" s="106">
        <f t="shared" si="299"/>
        <v>1000</v>
      </c>
      <c r="W296" s="109"/>
      <c r="X296" s="106">
        <f t="shared" si="300"/>
        <v>1000</v>
      </c>
      <c r="Y296" s="109"/>
      <c r="Z296" s="106">
        <f t="shared" si="301"/>
        <v>1000</v>
      </c>
      <c r="AA296" s="109"/>
      <c r="AB296" s="106">
        <f t="shared" si="302"/>
        <v>1000</v>
      </c>
      <c r="AC296" s="109"/>
      <c r="AD296" s="106">
        <f t="shared" si="303"/>
        <v>1000</v>
      </c>
      <c r="AE296" s="109"/>
      <c r="AF296" s="106">
        <f t="shared" si="304"/>
        <v>1000</v>
      </c>
      <c r="AG296" s="147"/>
      <c r="AH296" s="106">
        <f t="shared" si="305"/>
        <v>1000</v>
      </c>
      <c r="AI296" s="109"/>
      <c r="AJ296" s="106">
        <f t="shared" si="306"/>
        <v>1000</v>
      </c>
      <c r="AK296" s="109"/>
      <c r="AL296" s="106">
        <f t="shared" si="307"/>
        <v>1000</v>
      </c>
      <c r="AM296" s="109"/>
      <c r="AN296" s="106">
        <f t="shared" si="308"/>
        <v>1000</v>
      </c>
      <c r="AO296" s="106">
        <v>0</v>
      </c>
      <c r="AP296" s="113">
        <v>0</v>
      </c>
      <c r="AQ296" s="243">
        <v>1000</v>
      </c>
      <c r="AR296" s="275"/>
      <c r="AS296" s="244">
        <f t="shared" si="288"/>
        <v>1000</v>
      </c>
      <c r="AT296" s="103"/>
      <c r="AU296" s="159" t="e">
        <f t="shared" si="309"/>
        <v>#DIV/0!</v>
      </c>
      <c r="AV296" s="103">
        <f t="shared" si="287"/>
        <v>0</v>
      </c>
    </row>
    <row r="297" spans="1:48" ht="12.75" hidden="1">
      <c r="A297" s="31"/>
      <c r="B297" s="27">
        <v>4300</v>
      </c>
      <c r="C297" s="18" t="s">
        <v>15</v>
      </c>
      <c r="D297" s="104">
        <v>2000</v>
      </c>
      <c r="E297" s="106"/>
      <c r="F297" s="106">
        <f t="shared" si="310"/>
        <v>2000</v>
      </c>
      <c r="G297" s="109"/>
      <c r="H297" s="106">
        <f t="shared" si="311"/>
        <v>2000</v>
      </c>
      <c r="I297" s="109"/>
      <c r="J297" s="106">
        <f t="shared" si="295"/>
        <v>2000</v>
      </c>
      <c r="K297" s="110"/>
      <c r="L297" s="106">
        <f t="shared" si="296"/>
        <v>2000</v>
      </c>
      <c r="M297" s="109"/>
      <c r="N297" s="106">
        <f t="shared" si="297"/>
        <v>2000</v>
      </c>
      <c r="O297" s="106"/>
      <c r="P297" s="106">
        <f t="shared" si="297"/>
        <v>2000</v>
      </c>
      <c r="Q297" s="109"/>
      <c r="R297" s="106">
        <f t="shared" si="297"/>
        <v>2000</v>
      </c>
      <c r="S297" s="109"/>
      <c r="T297" s="106">
        <f t="shared" si="298"/>
        <v>2000</v>
      </c>
      <c r="U297" s="109"/>
      <c r="V297" s="106">
        <f t="shared" si="299"/>
        <v>2000</v>
      </c>
      <c r="W297" s="109"/>
      <c r="X297" s="106">
        <f t="shared" si="300"/>
        <v>2000</v>
      </c>
      <c r="Y297" s="109"/>
      <c r="Z297" s="106">
        <f t="shared" si="301"/>
        <v>2000</v>
      </c>
      <c r="AA297" s="109"/>
      <c r="AB297" s="106">
        <f t="shared" si="302"/>
        <v>2000</v>
      </c>
      <c r="AC297" s="109"/>
      <c r="AD297" s="106">
        <f t="shared" si="303"/>
        <v>2000</v>
      </c>
      <c r="AE297" s="109"/>
      <c r="AF297" s="106">
        <f t="shared" si="304"/>
        <v>2000</v>
      </c>
      <c r="AG297" s="147"/>
      <c r="AH297" s="106">
        <f t="shared" si="305"/>
        <v>2000</v>
      </c>
      <c r="AI297" s="109"/>
      <c r="AJ297" s="106">
        <f t="shared" si="306"/>
        <v>2000</v>
      </c>
      <c r="AK297" s="109"/>
      <c r="AL297" s="106">
        <f t="shared" si="307"/>
        <v>2000</v>
      </c>
      <c r="AM297" s="109"/>
      <c r="AN297" s="106">
        <f t="shared" si="308"/>
        <v>2000</v>
      </c>
      <c r="AO297" s="106">
        <v>0</v>
      </c>
      <c r="AP297" s="113">
        <v>106.6</v>
      </c>
      <c r="AQ297" s="243">
        <v>1000</v>
      </c>
      <c r="AR297" s="275"/>
      <c r="AS297" s="244">
        <f t="shared" si="288"/>
        <v>1000</v>
      </c>
      <c r="AT297" s="103"/>
      <c r="AU297" s="159">
        <f t="shared" si="309"/>
        <v>7.035647279549719</v>
      </c>
      <c r="AV297" s="103">
        <f t="shared" si="287"/>
        <v>142.13333333333333</v>
      </c>
    </row>
    <row r="298" spans="1:48" ht="12.75" hidden="1">
      <c r="A298" s="31"/>
      <c r="B298" s="27">
        <v>4410</v>
      </c>
      <c r="C298" s="18" t="s">
        <v>48</v>
      </c>
      <c r="D298" s="104">
        <v>2500</v>
      </c>
      <c r="E298" s="106"/>
      <c r="F298" s="106">
        <f t="shared" si="310"/>
        <v>2500</v>
      </c>
      <c r="G298" s="109"/>
      <c r="H298" s="106">
        <f t="shared" si="311"/>
        <v>2500</v>
      </c>
      <c r="I298" s="109"/>
      <c r="J298" s="106">
        <f t="shared" si="295"/>
        <v>2500</v>
      </c>
      <c r="K298" s="110"/>
      <c r="L298" s="106">
        <f t="shared" si="296"/>
        <v>2500</v>
      </c>
      <c r="M298" s="109"/>
      <c r="N298" s="106">
        <f t="shared" si="297"/>
        <v>2500</v>
      </c>
      <c r="O298" s="106"/>
      <c r="P298" s="106">
        <f t="shared" si="297"/>
        <v>2500</v>
      </c>
      <c r="Q298" s="109"/>
      <c r="R298" s="106">
        <f t="shared" si="297"/>
        <v>2500</v>
      </c>
      <c r="S298" s="109"/>
      <c r="T298" s="106">
        <f t="shared" si="298"/>
        <v>2500</v>
      </c>
      <c r="U298" s="109"/>
      <c r="V298" s="106">
        <f t="shared" si="299"/>
        <v>2500</v>
      </c>
      <c r="W298" s="109"/>
      <c r="X298" s="106">
        <f t="shared" si="300"/>
        <v>2500</v>
      </c>
      <c r="Y298" s="109"/>
      <c r="Z298" s="106">
        <f t="shared" si="301"/>
        <v>2500</v>
      </c>
      <c r="AA298" s="109"/>
      <c r="AB298" s="106">
        <f t="shared" si="302"/>
        <v>2500</v>
      </c>
      <c r="AC298" s="109"/>
      <c r="AD298" s="106">
        <f t="shared" si="303"/>
        <v>2500</v>
      </c>
      <c r="AE298" s="109"/>
      <c r="AF298" s="106">
        <f t="shared" si="304"/>
        <v>2500</v>
      </c>
      <c r="AG298" s="147"/>
      <c r="AH298" s="106">
        <f t="shared" si="305"/>
        <v>2500</v>
      </c>
      <c r="AI298" s="109"/>
      <c r="AJ298" s="106">
        <f t="shared" si="306"/>
        <v>2500</v>
      </c>
      <c r="AK298" s="109"/>
      <c r="AL298" s="106">
        <f t="shared" si="307"/>
        <v>2500</v>
      </c>
      <c r="AM298" s="109"/>
      <c r="AN298" s="106">
        <f t="shared" si="308"/>
        <v>2500</v>
      </c>
      <c r="AO298" s="106">
        <v>378</v>
      </c>
      <c r="AP298" s="113">
        <v>41</v>
      </c>
      <c r="AQ298" s="243">
        <v>500</v>
      </c>
      <c r="AR298" s="275"/>
      <c r="AS298" s="244">
        <f t="shared" si="288"/>
        <v>500</v>
      </c>
      <c r="AT298" s="103"/>
      <c r="AU298" s="159">
        <f t="shared" si="309"/>
        <v>9.146341463414634</v>
      </c>
      <c r="AV298" s="103">
        <f t="shared" si="287"/>
        <v>54.666666666666664</v>
      </c>
    </row>
    <row r="299" spans="1:48" ht="12.75" hidden="1">
      <c r="A299" s="31"/>
      <c r="B299" s="27">
        <v>4430</v>
      </c>
      <c r="C299" s="18" t="s">
        <v>16</v>
      </c>
      <c r="D299" s="104">
        <v>2000</v>
      </c>
      <c r="E299" s="106"/>
      <c r="F299" s="106">
        <f t="shared" si="310"/>
        <v>2000</v>
      </c>
      <c r="G299" s="109"/>
      <c r="H299" s="106">
        <f t="shared" si="311"/>
        <v>2000</v>
      </c>
      <c r="I299" s="109"/>
      <c r="J299" s="106">
        <f t="shared" si="295"/>
        <v>2000</v>
      </c>
      <c r="K299" s="110"/>
      <c r="L299" s="106">
        <f t="shared" si="296"/>
        <v>2000</v>
      </c>
      <c r="M299" s="109"/>
      <c r="N299" s="106">
        <f t="shared" si="297"/>
        <v>2000</v>
      </c>
      <c r="O299" s="106"/>
      <c r="P299" s="106">
        <f t="shared" si="297"/>
        <v>2000</v>
      </c>
      <c r="Q299" s="109"/>
      <c r="R299" s="106">
        <f t="shared" si="297"/>
        <v>2000</v>
      </c>
      <c r="S299" s="109"/>
      <c r="T299" s="106">
        <f t="shared" si="298"/>
        <v>2000</v>
      </c>
      <c r="U299" s="109"/>
      <c r="V299" s="106">
        <f t="shared" si="299"/>
        <v>2000</v>
      </c>
      <c r="W299" s="109"/>
      <c r="X299" s="106">
        <f t="shared" si="300"/>
        <v>2000</v>
      </c>
      <c r="Y299" s="109"/>
      <c r="Z299" s="106">
        <f t="shared" si="301"/>
        <v>2000</v>
      </c>
      <c r="AA299" s="109"/>
      <c r="AB299" s="106">
        <f t="shared" si="302"/>
        <v>2000</v>
      </c>
      <c r="AC299" s="109"/>
      <c r="AD299" s="106">
        <f t="shared" si="303"/>
        <v>2000</v>
      </c>
      <c r="AE299" s="109"/>
      <c r="AF299" s="106">
        <f t="shared" si="304"/>
        <v>2000</v>
      </c>
      <c r="AG299" s="147"/>
      <c r="AH299" s="106">
        <f t="shared" si="305"/>
        <v>2000</v>
      </c>
      <c r="AI299" s="109"/>
      <c r="AJ299" s="106">
        <f t="shared" si="306"/>
        <v>2000</v>
      </c>
      <c r="AK299" s="109"/>
      <c r="AL299" s="106">
        <f t="shared" si="307"/>
        <v>2000</v>
      </c>
      <c r="AM299" s="109"/>
      <c r="AN299" s="106">
        <f t="shared" si="308"/>
        <v>2000</v>
      </c>
      <c r="AO299" s="106">
        <v>0</v>
      </c>
      <c r="AP299" s="113">
        <v>0</v>
      </c>
      <c r="AQ299" s="243">
        <v>500</v>
      </c>
      <c r="AR299" s="275"/>
      <c r="AS299" s="244">
        <f t="shared" si="288"/>
        <v>500</v>
      </c>
      <c r="AT299" s="103"/>
      <c r="AU299" s="159" t="e">
        <f t="shared" si="309"/>
        <v>#DIV/0!</v>
      </c>
      <c r="AV299" s="103">
        <f t="shared" si="287"/>
        <v>0</v>
      </c>
    </row>
    <row r="300" spans="1:48" ht="12.75" hidden="1">
      <c r="A300" s="31"/>
      <c r="B300" s="27">
        <v>4440</v>
      </c>
      <c r="C300" s="18" t="s">
        <v>50</v>
      </c>
      <c r="D300" s="104">
        <v>4534</v>
      </c>
      <c r="E300" s="106"/>
      <c r="F300" s="106">
        <f t="shared" si="310"/>
        <v>4534</v>
      </c>
      <c r="G300" s="109"/>
      <c r="H300" s="106">
        <f t="shared" si="311"/>
        <v>4534</v>
      </c>
      <c r="I300" s="109"/>
      <c r="J300" s="106">
        <f t="shared" si="295"/>
        <v>4534</v>
      </c>
      <c r="K300" s="110"/>
      <c r="L300" s="106">
        <f t="shared" si="296"/>
        <v>4534</v>
      </c>
      <c r="M300" s="109"/>
      <c r="N300" s="106">
        <f t="shared" si="297"/>
        <v>4534</v>
      </c>
      <c r="O300" s="106"/>
      <c r="P300" s="106">
        <f t="shared" si="297"/>
        <v>4534</v>
      </c>
      <c r="Q300" s="109"/>
      <c r="R300" s="106">
        <f t="shared" si="297"/>
        <v>4534</v>
      </c>
      <c r="S300" s="109"/>
      <c r="T300" s="106">
        <f t="shared" si="298"/>
        <v>4534</v>
      </c>
      <c r="U300" s="109"/>
      <c r="V300" s="106">
        <f t="shared" si="299"/>
        <v>4534</v>
      </c>
      <c r="W300" s="109"/>
      <c r="X300" s="106">
        <f t="shared" si="300"/>
        <v>4534</v>
      </c>
      <c r="Y300" s="109"/>
      <c r="Z300" s="106">
        <f t="shared" si="301"/>
        <v>4534</v>
      </c>
      <c r="AA300" s="109"/>
      <c r="AB300" s="106">
        <f t="shared" si="302"/>
        <v>4534</v>
      </c>
      <c r="AC300" s="109"/>
      <c r="AD300" s="106">
        <f t="shared" si="303"/>
        <v>4534</v>
      </c>
      <c r="AE300" s="109"/>
      <c r="AF300" s="106">
        <f t="shared" si="304"/>
        <v>4534</v>
      </c>
      <c r="AG300" s="147"/>
      <c r="AH300" s="106">
        <f t="shared" si="305"/>
        <v>4534</v>
      </c>
      <c r="AI300" s="109"/>
      <c r="AJ300" s="106">
        <f t="shared" si="306"/>
        <v>4534</v>
      </c>
      <c r="AK300" s="109"/>
      <c r="AL300" s="106">
        <f t="shared" si="307"/>
        <v>4534</v>
      </c>
      <c r="AM300" s="109"/>
      <c r="AN300" s="106">
        <f t="shared" si="308"/>
        <v>4534</v>
      </c>
      <c r="AO300" s="106">
        <v>4533</v>
      </c>
      <c r="AP300" s="113">
        <v>3400</v>
      </c>
      <c r="AQ300" s="243">
        <v>5001</v>
      </c>
      <c r="AR300" s="275"/>
      <c r="AS300" s="244">
        <f t="shared" si="288"/>
        <v>5001</v>
      </c>
      <c r="AT300" s="103"/>
      <c r="AU300" s="159">
        <f t="shared" si="309"/>
        <v>1.1031617647058825</v>
      </c>
      <c r="AV300" s="103">
        <f t="shared" si="287"/>
        <v>4533.333333333333</v>
      </c>
    </row>
    <row r="301" spans="1:48" ht="25.5" hidden="1">
      <c r="A301" s="31"/>
      <c r="B301" s="27">
        <v>4740</v>
      </c>
      <c r="C301" s="18" t="s">
        <v>52</v>
      </c>
      <c r="D301" s="104">
        <v>500</v>
      </c>
      <c r="E301" s="106"/>
      <c r="F301" s="106">
        <f t="shared" si="310"/>
        <v>500</v>
      </c>
      <c r="G301" s="109"/>
      <c r="H301" s="106">
        <f t="shared" si="311"/>
        <v>500</v>
      </c>
      <c r="I301" s="109"/>
      <c r="J301" s="106">
        <f t="shared" si="295"/>
        <v>500</v>
      </c>
      <c r="K301" s="110"/>
      <c r="L301" s="106">
        <f t="shared" si="296"/>
        <v>500</v>
      </c>
      <c r="M301" s="109"/>
      <c r="N301" s="106">
        <f t="shared" si="297"/>
        <v>500</v>
      </c>
      <c r="O301" s="106"/>
      <c r="P301" s="106">
        <f t="shared" si="297"/>
        <v>500</v>
      </c>
      <c r="Q301" s="109"/>
      <c r="R301" s="106">
        <f t="shared" si="297"/>
        <v>500</v>
      </c>
      <c r="S301" s="109"/>
      <c r="T301" s="106">
        <f t="shared" si="298"/>
        <v>500</v>
      </c>
      <c r="U301" s="109"/>
      <c r="V301" s="106">
        <f t="shared" si="299"/>
        <v>500</v>
      </c>
      <c r="W301" s="109"/>
      <c r="X301" s="106">
        <f t="shared" si="300"/>
        <v>500</v>
      </c>
      <c r="Y301" s="109"/>
      <c r="Z301" s="106">
        <f t="shared" si="301"/>
        <v>500</v>
      </c>
      <c r="AA301" s="109"/>
      <c r="AB301" s="106">
        <f t="shared" si="302"/>
        <v>500</v>
      </c>
      <c r="AC301" s="109"/>
      <c r="AD301" s="106">
        <f t="shared" si="303"/>
        <v>500</v>
      </c>
      <c r="AE301" s="109"/>
      <c r="AF301" s="106">
        <f t="shared" si="304"/>
        <v>500</v>
      </c>
      <c r="AG301" s="147"/>
      <c r="AH301" s="106">
        <f t="shared" si="305"/>
        <v>500</v>
      </c>
      <c r="AI301" s="109"/>
      <c r="AJ301" s="106">
        <f t="shared" si="306"/>
        <v>500</v>
      </c>
      <c r="AK301" s="109"/>
      <c r="AL301" s="106">
        <f t="shared" si="307"/>
        <v>500</v>
      </c>
      <c r="AM301" s="109"/>
      <c r="AN301" s="106">
        <f t="shared" si="308"/>
        <v>500</v>
      </c>
      <c r="AO301" s="106">
        <v>13</v>
      </c>
      <c r="AP301" s="113">
        <v>12</v>
      </c>
      <c r="AQ301" s="243">
        <v>500</v>
      </c>
      <c r="AR301" s="275"/>
      <c r="AS301" s="244">
        <f t="shared" si="288"/>
        <v>500</v>
      </c>
      <c r="AT301" s="103"/>
      <c r="AU301" s="159">
        <f t="shared" si="309"/>
        <v>31.25</v>
      </c>
      <c r="AV301" s="103">
        <f t="shared" si="287"/>
        <v>16</v>
      </c>
    </row>
    <row r="302" spans="1:48" ht="12.75" hidden="1">
      <c r="A302" s="31"/>
      <c r="B302" s="27">
        <v>4750</v>
      </c>
      <c r="C302" s="18" t="s">
        <v>53</v>
      </c>
      <c r="D302" s="104">
        <v>2000</v>
      </c>
      <c r="E302" s="106"/>
      <c r="F302" s="106">
        <f t="shared" si="310"/>
        <v>2000</v>
      </c>
      <c r="G302" s="109"/>
      <c r="H302" s="106">
        <f t="shared" si="311"/>
        <v>2000</v>
      </c>
      <c r="I302" s="109"/>
      <c r="J302" s="106">
        <f t="shared" si="295"/>
        <v>2000</v>
      </c>
      <c r="K302" s="110"/>
      <c r="L302" s="106">
        <f t="shared" si="296"/>
        <v>2000</v>
      </c>
      <c r="M302" s="109"/>
      <c r="N302" s="106">
        <f t="shared" si="297"/>
        <v>2000</v>
      </c>
      <c r="O302" s="106"/>
      <c r="P302" s="106">
        <f t="shared" si="297"/>
        <v>2000</v>
      </c>
      <c r="Q302" s="109"/>
      <c r="R302" s="106">
        <f t="shared" si="297"/>
        <v>2000</v>
      </c>
      <c r="S302" s="109"/>
      <c r="T302" s="106">
        <f t="shared" si="298"/>
        <v>2000</v>
      </c>
      <c r="U302" s="109"/>
      <c r="V302" s="106">
        <f t="shared" si="299"/>
        <v>2000</v>
      </c>
      <c r="W302" s="109"/>
      <c r="X302" s="106">
        <f t="shared" si="300"/>
        <v>2000</v>
      </c>
      <c r="Y302" s="109"/>
      <c r="Z302" s="106">
        <f t="shared" si="301"/>
        <v>2000</v>
      </c>
      <c r="AA302" s="109"/>
      <c r="AB302" s="106">
        <f t="shared" si="302"/>
        <v>2000</v>
      </c>
      <c r="AC302" s="109"/>
      <c r="AD302" s="106">
        <f t="shared" si="303"/>
        <v>2000</v>
      </c>
      <c r="AE302" s="109"/>
      <c r="AF302" s="106">
        <f t="shared" si="304"/>
        <v>2000</v>
      </c>
      <c r="AG302" s="147"/>
      <c r="AH302" s="106">
        <f t="shared" si="305"/>
        <v>2000</v>
      </c>
      <c r="AI302" s="109"/>
      <c r="AJ302" s="106">
        <f t="shared" si="306"/>
        <v>2000</v>
      </c>
      <c r="AK302" s="109"/>
      <c r="AL302" s="106">
        <f t="shared" si="307"/>
        <v>2000</v>
      </c>
      <c r="AM302" s="109"/>
      <c r="AN302" s="106">
        <f t="shared" si="308"/>
        <v>2000</v>
      </c>
      <c r="AO302" s="106">
        <v>450</v>
      </c>
      <c r="AP302" s="113">
        <v>0</v>
      </c>
      <c r="AQ302" s="243">
        <v>1000</v>
      </c>
      <c r="AR302" s="275"/>
      <c r="AS302" s="244">
        <f t="shared" si="288"/>
        <v>1000</v>
      </c>
      <c r="AT302" s="103"/>
      <c r="AU302" s="159" t="e">
        <f t="shared" si="309"/>
        <v>#DIV/0!</v>
      </c>
      <c r="AV302" s="103">
        <f t="shared" si="287"/>
        <v>0</v>
      </c>
    </row>
    <row r="303" spans="1:48" ht="12.75" hidden="1">
      <c r="A303" s="31">
        <v>80195</v>
      </c>
      <c r="B303" s="26"/>
      <c r="C303" s="19" t="s">
        <v>13</v>
      </c>
      <c r="D303" s="190">
        <f aca="true" t="shared" si="312" ref="D303:J303">SUM(D304:D305)</f>
        <v>71800</v>
      </c>
      <c r="E303" s="190">
        <f t="shared" si="312"/>
        <v>0</v>
      </c>
      <c r="F303" s="190">
        <f t="shared" si="312"/>
        <v>71800</v>
      </c>
      <c r="G303" s="190">
        <f t="shared" si="312"/>
        <v>15904</v>
      </c>
      <c r="H303" s="190">
        <f t="shared" si="312"/>
        <v>87704</v>
      </c>
      <c r="I303" s="190">
        <f t="shared" si="312"/>
        <v>0</v>
      </c>
      <c r="J303" s="190">
        <f t="shared" si="312"/>
        <v>87704</v>
      </c>
      <c r="K303" s="110"/>
      <c r="L303" s="190">
        <f>SUM(L304:L305)</f>
        <v>87704</v>
      </c>
      <c r="M303" s="109"/>
      <c r="N303" s="190">
        <f>SUM(N304:N305)</f>
        <v>87704</v>
      </c>
      <c r="O303" s="190"/>
      <c r="P303" s="190">
        <f>SUM(P304:P305)</f>
        <v>87704</v>
      </c>
      <c r="Q303" s="109"/>
      <c r="R303" s="190">
        <f>SUM(R304:R305)</f>
        <v>87704</v>
      </c>
      <c r="S303" s="109"/>
      <c r="T303" s="190">
        <f>SUM(T304:T305)</f>
        <v>87704</v>
      </c>
      <c r="U303" s="109"/>
      <c r="V303" s="190">
        <f>SUM(V304:V305)</f>
        <v>87704</v>
      </c>
      <c r="W303" s="109"/>
      <c r="X303" s="190">
        <f>SUM(X304:X305)</f>
        <v>87704</v>
      </c>
      <c r="Y303" s="109"/>
      <c r="Z303" s="190">
        <f>SUM(Z304:Z305)</f>
        <v>87704</v>
      </c>
      <c r="AA303" s="109"/>
      <c r="AB303" s="190">
        <f>SUM(AB304:AB305)</f>
        <v>87704</v>
      </c>
      <c r="AC303" s="109"/>
      <c r="AD303" s="190">
        <f>SUM(AD304:AD305)</f>
        <v>87704</v>
      </c>
      <c r="AE303" s="109"/>
      <c r="AF303" s="190">
        <f>SUM(AF304:AF305)</f>
        <v>87704</v>
      </c>
      <c r="AG303" s="147"/>
      <c r="AH303" s="190">
        <f aca="true" t="shared" si="313" ref="AH303:AN303">SUM(AH304:AH305)</f>
        <v>87704</v>
      </c>
      <c r="AI303" s="190">
        <f t="shared" si="313"/>
        <v>0</v>
      </c>
      <c r="AJ303" s="190">
        <f t="shared" si="313"/>
        <v>87704</v>
      </c>
      <c r="AK303" s="190">
        <f t="shared" si="313"/>
        <v>-1146</v>
      </c>
      <c r="AL303" s="190">
        <f t="shared" si="313"/>
        <v>86558</v>
      </c>
      <c r="AM303" s="190">
        <f t="shared" si="313"/>
        <v>0</v>
      </c>
      <c r="AN303" s="190">
        <f t="shared" si="313"/>
        <v>86558</v>
      </c>
      <c r="AO303" s="190">
        <f>SUM(AO304:AO305)</f>
        <v>185229</v>
      </c>
      <c r="AP303" s="81">
        <f>SUM(AP304:AP305)</f>
        <v>56704</v>
      </c>
      <c r="AQ303" s="247">
        <f>SUM(AQ304:AQ305)</f>
        <v>70183</v>
      </c>
      <c r="AR303" s="274"/>
      <c r="AS303" s="244">
        <f t="shared" si="288"/>
        <v>70183</v>
      </c>
      <c r="AT303" s="103"/>
      <c r="AU303" s="159">
        <f t="shared" si="309"/>
        <v>0.9282810736455983</v>
      </c>
      <c r="AV303" s="103">
        <f t="shared" si="287"/>
        <v>75605.33333333333</v>
      </c>
    </row>
    <row r="304" spans="1:48" ht="12.75" hidden="1">
      <c r="A304" s="31"/>
      <c r="B304" s="27">
        <v>4300</v>
      </c>
      <c r="C304" s="27" t="s">
        <v>15</v>
      </c>
      <c r="D304" s="104">
        <v>12300</v>
      </c>
      <c r="E304" s="106"/>
      <c r="F304" s="106">
        <f t="shared" si="310"/>
        <v>12300</v>
      </c>
      <c r="G304" s="109"/>
      <c r="H304" s="106">
        <f t="shared" si="311"/>
        <v>12300</v>
      </c>
      <c r="I304" s="109"/>
      <c r="J304" s="106">
        <f>I304+H304</f>
        <v>12300</v>
      </c>
      <c r="K304" s="110"/>
      <c r="L304" s="106">
        <f>K304+H304</f>
        <v>12300</v>
      </c>
      <c r="M304" s="109"/>
      <c r="N304" s="106">
        <f>M304+L304</f>
        <v>12300</v>
      </c>
      <c r="O304" s="106"/>
      <c r="P304" s="106">
        <f>O304+N304</f>
        <v>12300</v>
      </c>
      <c r="Q304" s="109"/>
      <c r="R304" s="106">
        <f>Q304+P304</f>
        <v>12300</v>
      </c>
      <c r="S304" s="109"/>
      <c r="T304" s="106">
        <f>S304+R304</f>
        <v>12300</v>
      </c>
      <c r="U304" s="109"/>
      <c r="V304" s="106">
        <f>U304+T304</f>
        <v>12300</v>
      </c>
      <c r="W304" s="109"/>
      <c r="X304" s="106">
        <f>W304+V304</f>
        <v>12300</v>
      </c>
      <c r="Y304" s="109"/>
      <c r="Z304" s="106">
        <f>Y304+X304</f>
        <v>12300</v>
      </c>
      <c r="AA304" s="109"/>
      <c r="AB304" s="106">
        <f>AA304+Z304</f>
        <v>12300</v>
      </c>
      <c r="AC304" s="109"/>
      <c r="AD304" s="106">
        <f>AC304+AB304</f>
        <v>12300</v>
      </c>
      <c r="AE304" s="109"/>
      <c r="AF304" s="106">
        <f>AE304+AD304</f>
        <v>12300</v>
      </c>
      <c r="AG304" s="147"/>
      <c r="AH304" s="106">
        <f>AG304+AF304</f>
        <v>12300</v>
      </c>
      <c r="AI304" s="109"/>
      <c r="AJ304" s="106">
        <f>AI304+AH304</f>
        <v>12300</v>
      </c>
      <c r="AK304" s="109">
        <v>-1146</v>
      </c>
      <c r="AL304" s="106">
        <f>AK304+AJ304</f>
        <v>11154</v>
      </c>
      <c r="AM304" s="109"/>
      <c r="AN304" s="106">
        <f>AM304+AL304</f>
        <v>11154</v>
      </c>
      <c r="AO304" s="106">
        <v>128796</v>
      </c>
      <c r="AP304" s="113">
        <v>0</v>
      </c>
      <c r="AQ304" s="243">
        <v>0</v>
      </c>
      <c r="AR304" s="275"/>
      <c r="AS304" s="244">
        <f t="shared" si="288"/>
        <v>0</v>
      </c>
      <c r="AT304" s="103"/>
      <c r="AU304" s="159" t="e">
        <f t="shared" si="309"/>
        <v>#DIV/0!</v>
      </c>
      <c r="AV304" s="103">
        <f t="shared" si="287"/>
        <v>0</v>
      </c>
    </row>
    <row r="305" spans="1:48" ht="12.75" hidden="1">
      <c r="A305" s="21"/>
      <c r="B305" s="27">
        <v>4440</v>
      </c>
      <c r="C305" s="18" t="s">
        <v>50</v>
      </c>
      <c r="D305" s="104">
        <v>59500</v>
      </c>
      <c r="E305" s="106"/>
      <c r="F305" s="106">
        <f t="shared" si="310"/>
        <v>59500</v>
      </c>
      <c r="G305" s="109">
        <v>15904</v>
      </c>
      <c r="H305" s="106">
        <f t="shared" si="311"/>
        <v>75404</v>
      </c>
      <c r="I305" s="109"/>
      <c r="J305" s="106">
        <f>I305+H305</f>
        <v>75404</v>
      </c>
      <c r="K305" s="110"/>
      <c r="L305" s="106">
        <f>K305+H305</f>
        <v>75404</v>
      </c>
      <c r="M305" s="109"/>
      <c r="N305" s="106">
        <f>M305+L305</f>
        <v>75404</v>
      </c>
      <c r="O305" s="106"/>
      <c r="P305" s="106">
        <f>O305+N305</f>
        <v>75404</v>
      </c>
      <c r="Q305" s="109"/>
      <c r="R305" s="106">
        <f>Q305+P305</f>
        <v>75404</v>
      </c>
      <c r="S305" s="109"/>
      <c r="T305" s="106">
        <f>S305+R305</f>
        <v>75404</v>
      </c>
      <c r="U305" s="109"/>
      <c r="V305" s="106">
        <f>U305+T305</f>
        <v>75404</v>
      </c>
      <c r="W305" s="109"/>
      <c r="X305" s="106">
        <f>W305+V305</f>
        <v>75404</v>
      </c>
      <c r="Y305" s="109"/>
      <c r="Z305" s="106">
        <f>Y305+X305</f>
        <v>75404</v>
      </c>
      <c r="AA305" s="109"/>
      <c r="AB305" s="106">
        <f>AA305+Z305</f>
        <v>75404</v>
      </c>
      <c r="AC305" s="109"/>
      <c r="AD305" s="106">
        <f>AC305+AB305</f>
        <v>75404</v>
      </c>
      <c r="AE305" s="109"/>
      <c r="AF305" s="106">
        <f>AE305+AD305</f>
        <v>75404</v>
      </c>
      <c r="AG305" s="147"/>
      <c r="AH305" s="106">
        <f>AG305+AF305</f>
        <v>75404</v>
      </c>
      <c r="AI305" s="109"/>
      <c r="AJ305" s="106">
        <f>AI305+AH305</f>
        <v>75404</v>
      </c>
      <c r="AK305" s="109"/>
      <c r="AL305" s="106">
        <f>AK305+AJ305</f>
        <v>75404</v>
      </c>
      <c r="AM305" s="109"/>
      <c r="AN305" s="106">
        <f>AM305+AL305</f>
        <v>75404</v>
      </c>
      <c r="AO305" s="106">
        <v>56433</v>
      </c>
      <c r="AP305" s="113">
        <v>56704</v>
      </c>
      <c r="AQ305" s="243">
        <v>70183</v>
      </c>
      <c r="AR305" s="275"/>
      <c r="AS305" s="244">
        <f t="shared" si="288"/>
        <v>70183</v>
      </c>
      <c r="AT305" s="103"/>
      <c r="AU305" s="159">
        <f t="shared" si="309"/>
        <v>0.9282810736455983</v>
      </c>
      <c r="AV305" s="103">
        <f t="shared" si="287"/>
        <v>75605.33333333333</v>
      </c>
    </row>
    <row r="306" spans="1:48" ht="12.75" hidden="1">
      <c r="A306" s="218">
        <v>851</v>
      </c>
      <c r="B306" s="187"/>
      <c r="C306" s="188" t="s">
        <v>85</v>
      </c>
      <c r="D306" s="189">
        <f aca="true" t="shared" si="314" ref="D306:AQ306">SUM(D307,D310)</f>
        <v>105000</v>
      </c>
      <c r="E306" s="189">
        <f t="shared" si="314"/>
        <v>0</v>
      </c>
      <c r="F306" s="189">
        <f t="shared" si="314"/>
        <v>105000</v>
      </c>
      <c r="G306" s="189">
        <f t="shared" si="314"/>
        <v>0</v>
      </c>
      <c r="H306" s="189">
        <f t="shared" si="314"/>
        <v>105000</v>
      </c>
      <c r="I306" s="189">
        <f t="shared" si="314"/>
        <v>0</v>
      </c>
      <c r="J306" s="189">
        <f t="shared" si="314"/>
        <v>105000</v>
      </c>
      <c r="K306" s="189">
        <f t="shared" si="314"/>
        <v>0</v>
      </c>
      <c r="L306" s="189">
        <f t="shared" si="314"/>
        <v>105000</v>
      </c>
      <c r="M306" s="189">
        <f t="shared" si="314"/>
        <v>0</v>
      </c>
      <c r="N306" s="189">
        <f t="shared" si="314"/>
        <v>105000</v>
      </c>
      <c r="O306" s="189">
        <f t="shared" si="314"/>
        <v>0</v>
      </c>
      <c r="P306" s="189">
        <f t="shared" si="314"/>
        <v>105000</v>
      </c>
      <c r="Q306" s="189">
        <f t="shared" si="314"/>
        <v>0</v>
      </c>
      <c r="R306" s="189">
        <f t="shared" si="314"/>
        <v>105000</v>
      </c>
      <c r="S306" s="189">
        <f t="shared" si="314"/>
        <v>0</v>
      </c>
      <c r="T306" s="189">
        <f t="shared" si="314"/>
        <v>105000</v>
      </c>
      <c r="U306" s="189">
        <f t="shared" si="314"/>
        <v>0</v>
      </c>
      <c r="V306" s="189">
        <f t="shared" si="314"/>
        <v>105000</v>
      </c>
      <c r="W306" s="189">
        <f t="shared" si="314"/>
        <v>0</v>
      </c>
      <c r="X306" s="189">
        <f t="shared" si="314"/>
        <v>105000</v>
      </c>
      <c r="Y306" s="189">
        <f t="shared" si="314"/>
        <v>0</v>
      </c>
      <c r="Z306" s="189">
        <f t="shared" si="314"/>
        <v>105000</v>
      </c>
      <c r="AA306" s="189">
        <f t="shared" si="314"/>
        <v>3500</v>
      </c>
      <c r="AB306" s="189">
        <f t="shared" si="314"/>
        <v>108500</v>
      </c>
      <c r="AC306" s="189">
        <f t="shared" si="314"/>
        <v>0</v>
      </c>
      <c r="AD306" s="189">
        <f t="shared" si="314"/>
        <v>108500</v>
      </c>
      <c r="AE306" s="189">
        <f t="shared" si="314"/>
        <v>0</v>
      </c>
      <c r="AF306" s="189">
        <f t="shared" si="314"/>
        <v>108500</v>
      </c>
      <c r="AG306" s="189">
        <f t="shared" si="314"/>
        <v>0</v>
      </c>
      <c r="AH306" s="189">
        <f t="shared" si="314"/>
        <v>108500</v>
      </c>
      <c r="AI306" s="189">
        <f t="shared" si="314"/>
        <v>0</v>
      </c>
      <c r="AJ306" s="189">
        <f t="shared" si="314"/>
        <v>108500</v>
      </c>
      <c r="AK306" s="189">
        <f t="shared" si="314"/>
        <v>6300</v>
      </c>
      <c r="AL306" s="189">
        <f t="shared" si="314"/>
        <v>114800</v>
      </c>
      <c r="AM306" s="189">
        <f t="shared" si="314"/>
        <v>0</v>
      </c>
      <c r="AN306" s="189">
        <f t="shared" si="314"/>
        <v>114800</v>
      </c>
      <c r="AO306" s="189">
        <f t="shared" si="314"/>
        <v>98107</v>
      </c>
      <c r="AP306" s="221">
        <f t="shared" si="314"/>
        <v>92471.59</v>
      </c>
      <c r="AQ306" s="249">
        <f t="shared" si="314"/>
        <v>117000</v>
      </c>
      <c r="AR306" s="276"/>
      <c r="AS306" s="244">
        <f t="shared" si="288"/>
        <v>117000</v>
      </c>
      <c r="AT306" s="103"/>
      <c r="AU306" s="159">
        <f t="shared" si="309"/>
        <v>0.9489401014949566</v>
      </c>
      <c r="AV306" s="103">
        <f t="shared" si="287"/>
        <v>123295.45333333332</v>
      </c>
    </row>
    <row r="307" spans="1:48" ht="12.75" hidden="1">
      <c r="A307" s="31">
        <v>85153</v>
      </c>
      <c r="B307" s="26"/>
      <c r="C307" s="26" t="s">
        <v>86</v>
      </c>
      <c r="D307" s="190">
        <f>SUM(D308:D309)</f>
        <v>8000</v>
      </c>
      <c r="E307" s="106"/>
      <c r="F307" s="106">
        <f t="shared" si="310"/>
        <v>8000</v>
      </c>
      <c r="G307" s="109"/>
      <c r="H307" s="106">
        <f t="shared" si="311"/>
        <v>8000</v>
      </c>
      <c r="I307" s="109"/>
      <c r="J307" s="106">
        <f>I307+H307</f>
        <v>8000</v>
      </c>
      <c r="K307" s="110"/>
      <c r="L307" s="106">
        <f>K307+H307</f>
        <v>8000</v>
      </c>
      <c r="M307" s="109"/>
      <c r="N307" s="106">
        <f>M307+L307</f>
        <v>8000</v>
      </c>
      <c r="O307" s="106"/>
      <c r="P307" s="106">
        <f>O307+N307</f>
        <v>8000</v>
      </c>
      <c r="Q307" s="109"/>
      <c r="R307" s="106">
        <f>Q307+P307</f>
        <v>8000</v>
      </c>
      <c r="S307" s="109"/>
      <c r="T307" s="106">
        <f>S307+R307</f>
        <v>8000</v>
      </c>
      <c r="U307" s="109"/>
      <c r="V307" s="106">
        <f>U307+T307</f>
        <v>8000</v>
      </c>
      <c r="W307" s="109"/>
      <c r="X307" s="106">
        <f>W307+V307</f>
        <v>8000</v>
      </c>
      <c r="Y307" s="204">
        <f aca="true" t="shared" si="315" ref="Y307:AD307">SUM(Y308:Y309)</f>
        <v>0</v>
      </c>
      <c r="Z307" s="204">
        <f t="shared" si="315"/>
        <v>8000</v>
      </c>
      <c r="AA307" s="204">
        <f t="shared" si="315"/>
        <v>-2000</v>
      </c>
      <c r="AB307" s="204">
        <f t="shared" si="315"/>
        <v>6000</v>
      </c>
      <c r="AC307" s="204">
        <f t="shared" si="315"/>
        <v>0</v>
      </c>
      <c r="AD307" s="204">
        <f t="shared" si="315"/>
        <v>6000</v>
      </c>
      <c r="AE307" s="204">
        <f aca="true" t="shared" si="316" ref="AE307:AJ307">SUM(AE308:AE309)</f>
        <v>0</v>
      </c>
      <c r="AF307" s="204">
        <f t="shared" si="316"/>
        <v>6000</v>
      </c>
      <c r="AG307" s="205">
        <f t="shared" si="316"/>
        <v>0</v>
      </c>
      <c r="AH307" s="204">
        <f t="shared" si="316"/>
        <v>6000</v>
      </c>
      <c r="AI307" s="204">
        <f t="shared" si="316"/>
        <v>0</v>
      </c>
      <c r="AJ307" s="204">
        <f t="shared" si="316"/>
        <v>6000</v>
      </c>
      <c r="AK307" s="204">
        <f aca="true" t="shared" si="317" ref="AK307:AQ307">SUM(AK308:AK309)</f>
        <v>0</v>
      </c>
      <c r="AL307" s="204">
        <f t="shared" si="317"/>
        <v>6000</v>
      </c>
      <c r="AM307" s="204">
        <f t="shared" si="317"/>
        <v>0</v>
      </c>
      <c r="AN307" s="204">
        <f t="shared" si="317"/>
        <v>6000</v>
      </c>
      <c r="AO307" s="204">
        <f t="shared" si="317"/>
        <v>0</v>
      </c>
      <c r="AP307" s="222">
        <f t="shared" si="317"/>
        <v>0</v>
      </c>
      <c r="AQ307" s="251">
        <f t="shared" si="317"/>
        <v>8000</v>
      </c>
      <c r="AR307" s="279"/>
      <c r="AS307" s="244">
        <f t="shared" si="288"/>
        <v>8000</v>
      </c>
      <c r="AT307" s="103"/>
      <c r="AU307" s="159" t="e">
        <f t="shared" si="309"/>
        <v>#DIV/0!</v>
      </c>
      <c r="AV307" s="103">
        <f t="shared" si="287"/>
        <v>0</v>
      </c>
    </row>
    <row r="308" spans="1:48" ht="12.75" hidden="1">
      <c r="A308" s="21"/>
      <c r="B308" s="27">
        <v>4210</v>
      </c>
      <c r="C308" s="27" t="s">
        <v>14</v>
      </c>
      <c r="D308" s="104">
        <v>4000</v>
      </c>
      <c r="E308" s="106"/>
      <c r="F308" s="106">
        <f t="shared" si="310"/>
        <v>4000</v>
      </c>
      <c r="G308" s="109"/>
      <c r="H308" s="106">
        <f t="shared" si="311"/>
        <v>4000</v>
      </c>
      <c r="I308" s="109"/>
      <c r="J308" s="106">
        <f>I308+H308</f>
        <v>4000</v>
      </c>
      <c r="K308" s="110"/>
      <c r="L308" s="106">
        <f>K308+H308</f>
        <v>4000</v>
      </c>
      <c r="M308" s="109"/>
      <c r="N308" s="106">
        <f>M308+L308</f>
        <v>4000</v>
      </c>
      <c r="O308" s="106"/>
      <c r="P308" s="106">
        <f>O308+N308</f>
        <v>4000</v>
      </c>
      <c r="Q308" s="109"/>
      <c r="R308" s="106">
        <f>Q308+P308</f>
        <v>4000</v>
      </c>
      <c r="S308" s="109"/>
      <c r="T308" s="106">
        <f>S308+R308</f>
        <v>4000</v>
      </c>
      <c r="U308" s="109"/>
      <c r="V308" s="106">
        <f>U308+T308</f>
        <v>4000</v>
      </c>
      <c r="W308" s="109"/>
      <c r="X308" s="106">
        <f>W308+V308</f>
        <v>4000</v>
      </c>
      <c r="Y308" s="109"/>
      <c r="Z308" s="106">
        <f>Y308+X308</f>
        <v>4000</v>
      </c>
      <c r="AA308" s="109">
        <v>-1000</v>
      </c>
      <c r="AB308" s="106">
        <f>AA308+Z308</f>
        <v>3000</v>
      </c>
      <c r="AC308" s="109"/>
      <c r="AD308" s="106">
        <f>AC308+AB308</f>
        <v>3000</v>
      </c>
      <c r="AE308" s="109"/>
      <c r="AF308" s="106">
        <f>AE308+AD308</f>
        <v>3000</v>
      </c>
      <c r="AG308" s="147"/>
      <c r="AH308" s="106">
        <f>AG308+AF308</f>
        <v>3000</v>
      </c>
      <c r="AI308" s="109"/>
      <c r="AJ308" s="106">
        <f>AI308+AH308</f>
        <v>3000</v>
      </c>
      <c r="AK308" s="109"/>
      <c r="AL308" s="106">
        <f>AK308+AJ308</f>
        <v>3000</v>
      </c>
      <c r="AM308" s="109"/>
      <c r="AN308" s="106">
        <f>AM308+AL308</f>
        <v>3000</v>
      </c>
      <c r="AO308" s="106">
        <v>0</v>
      </c>
      <c r="AP308" s="113">
        <v>0</v>
      </c>
      <c r="AQ308" s="243">
        <v>4000</v>
      </c>
      <c r="AR308" s="275"/>
      <c r="AS308" s="244">
        <f t="shared" si="288"/>
        <v>4000</v>
      </c>
      <c r="AT308" s="103"/>
      <c r="AU308" s="159" t="e">
        <f t="shared" si="309"/>
        <v>#DIV/0!</v>
      </c>
      <c r="AV308" s="103"/>
    </row>
    <row r="309" spans="1:48" ht="12.75" hidden="1">
      <c r="A309" s="21"/>
      <c r="B309" s="27">
        <v>4300</v>
      </c>
      <c r="C309" s="27" t="s">
        <v>15</v>
      </c>
      <c r="D309" s="104">
        <v>4000</v>
      </c>
      <c r="E309" s="106"/>
      <c r="F309" s="106">
        <f t="shared" si="310"/>
        <v>4000</v>
      </c>
      <c r="G309" s="109"/>
      <c r="H309" s="106">
        <f t="shared" si="311"/>
        <v>4000</v>
      </c>
      <c r="I309" s="109"/>
      <c r="J309" s="106">
        <f>I309+H309</f>
        <v>4000</v>
      </c>
      <c r="K309" s="110"/>
      <c r="L309" s="106">
        <f>K309+H309</f>
        <v>4000</v>
      </c>
      <c r="M309" s="109"/>
      <c r="N309" s="106">
        <f>M309+L309</f>
        <v>4000</v>
      </c>
      <c r="O309" s="106"/>
      <c r="P309" s="106">
        <f>O309+N309</f>
        <v>4000</v>
      </c>
      <c r="Q309" s="109"/>
      <c r="R309" s="106">
        <f>Q309+P309</f>
        <v>4000</v>
      </c>
      <c r="S309" s="109"/>
      <c r="T309" s="106">
        <f>S309+R309</f>
        <v>4000</v>
      </c>
      <c r="U309" s="109"/>
      <c r="V309" s="106">
        <f>U309+T309</f>
        <v>4000</v>
      </c>
      <c r="W309" s="109"/>
      <c r="X309" s="106">
        <f>W309+V309</f>
        <v>4000</v>
      </c>
      <c r="Y309" s="109"/>
      <c r="Z309" s="106">
        <f>Y309+X309</f>
        <v>4000</v>
      </c>
      <c r="AA309" s="109">
        <v>-1000</v>
      </c>
      <c r="AB309" s="106">
        <f>AA309+Z309</f>
        <v>3000</v>
      </c>
      <c r="AC309" s="109"/>
      <c r="AD309" s="106">
        <f>AC309+AB309</f>
        <v>3000</v>
      </c>
      <c r="AE309" s="109"/>
      <c r="AF309" s="106">
        <f>AE309+AD309</f>
        <v>3000</v>
      </c>
      <c r="AG309" s="147"/>
      <c r="AH309" s="106">
        <f>AG309+AF309</f>
        <v>3000</v>
      </c>
      <c r="AI309" s="109"/>
      <c r="AJ309" s="106">
        <f>AI309+AH309</f>
        <v>3000</v>
      </c>
      <c r="AK309" s="109"/>
      <c r="AL309" s="106">
        <f>AK309+AJ309</f>
        <v>3000</v>
      </c>
      <c r="AM309" s="109"/>
      <c r="AN309" s="106">
        <f>AM309+AL309</f>
        <v>3000</v>
      </c>
      <c r="AO309" s="106">
        <v>0</v>
      </c>
      <c r="AP309" s="113">
        <v>0</v>
      </c>
      <c r="AQ309" s="243">
        <v>4000</v>
      </c>
      <c r="AR309" s="275"/>
      <c r="AS309" s="244">
        <f t="shared" si="288"/>
        <v>4000</v>
      </c>
      <c r="AT309" s="103"/>
      <c r="AU309" s="159" t="e">
        <f t="shared" si="309"/>
        <v>#DIV/0!</v>
      </c>
      <c r="AV309" s="103"/>
    </row>
    <row r="310" spans="1:48" ht="12.75" hidden="1">
      <c r="A310" s="31">
        <v>85154</v>
      </c>
      <c r="B310" s="26"/>
      <c r="C310" s="19" t="s">
        <v>87</v>
      </c>
      <c r="D310" s="190">
        <f aca="true" t="shared" si="318" ref="D310:J310">SUM(D311:D323)</f>
        <v>97000</v>
      </c>
      <c r="E310" s="190">
        <f t="shared" si="318"/>
        <v>0</v>
      </c>
      <c r="F310" s="190">
        <f t="shared" si="318"/>
        <v>97000</v>
      </c>
      <c r="G310" s="190">
        <f t="shared" si="318"/>
        <v>0</v>
      </c>
      <c r="H310" s="190">
        <f t="shared" si="318"/>
        <v>97000</v>
      </c>
      <c r="I310" s="190">
        <f t="shared" si="318"/>
        <v>0</v>
      </c>
      <c r="J310" s="190">
        <f t="shared" si="318"/>
        <v>97000</v>
      </c>
      <c r="K310" s="110"/>
      <c r="L310" s="190">
        <f>SUM(L311:L323)</f>
        <v>97000</v>
      </c>
      <c r="M310" s="109"/>
      <c r="N310" s="190">
        <f>SUM(N311:N323)</f>
        <v>97000</v>
      </c>
      <c r="O310" s="190"/>
      <c r="P310" s="190">
        <f>SUM(P311:P323)</f>
        <v>97000</v>
      </c>
      <c r="Q310" s="109"/>
      <c r="R310" s="190">
        <f>SUM(R311:R323)</f>
        <v>97000</v>
      </c>
      <c r="S310" s="109"/>
      <c r="T310" s="190">
        <f>SUM(T311:T323)</f>
        <v>97000</v>
      </c>
      <c r="U310" s="109"/>
      <c r="V310" s="190">
        <f>SUM(V311:V323)</f>
        <v>97000</v>
      </c>
      <c r="W310" s="109"/>
      <c r="X310" s="190">
        <f>SUM(X311:X323)</f>
        <v>97000</v>
      </c>
      <c r="Y310" s="190">
        <f aca="true" t="shared" si="319" ref="Y310:AD310">SUM(Y311:Y324)</f>
        <v>0</v>
      </c>
      <c r="Z310" s="190">
        <f t="shared" si="319"/>
        <v>97000</v>
      </c>
      <c r="AA310" s="190">
        <f t="shared" si="319"/>
        <v>5500</v>
      </c>
      <c r="AB310" s="190">
        <f t="shared" si="319"/>
        <v>102500</v>
      </c>
      <c r="AC310" s="190">
        <f t="shared" si="319"/>
        <v>0</v>
      </c>
      <c r="AD310" s="190">
        <f t="shared" si="319"/>
        <v>102500</v>
      </c>
      <c r="AE310" s="190">
        <f aca="true" t="shared" si="320" ref="AE310:AJ310">SUM(AE311:AE324)</f>
        <v>0</v>
      </c>
      <c r="AF310" s="190">
        <f t="shared" si="320"/>
        <v>102500</v>
      </c>
      <c r="AG310" s="191">
        <f t="shared" si="320"/>
        <v>0</v>
      </c>
      <c r="AH310" s="190">
        <f t="shared" si="320"/>
        <v>102500</v>
      </c>
      <c r="AI310" s="190">
        <f t="shared" si="320"/>
        <v>0</v>
      </c>
      <c r="AJ310" s="190">
        <f t="shared" si="320"/>
        <v>102500</v>
      </c>
      <c r="AK310" s="190">
        <f aca="true" t="shared" si="321" ref="AK310:AQ310">SUM(AK311:AK324)</f>
        <v>6300</v>
      </c>
      <c r="AL310" s="190">
        <f t="shared" si="321"/>
        <v>108800</v>
      </c>
      <c r="AM310" s="190">
        <f t="shared" si="321"/>
        <v>0</v>
      </c>
      <c r="AN310" s="190">
        <f t="shared" si="321"/>
        <v>108800</v>
      </c>
      <c r="AO310" s="190">
        <f t="shared" si="321"/>
        <v>98107</v>
      </c>
      <c r="AP310" s="81">
        <f t="shared" si="321"/>
        <v>92471.59</v>
      </c>
      <c r="AQ310" s="247">
        <f t="shared" si="321"/>
        <v>109000</v>
      </c>
      <c r="AR310" s="274"/>
      <c r="AS310" s="244">
        <f t="shared" si="288"/>
        <v>109000</v>
      </c>
      <c r="AT310" s="103"/>
      <c r="AU310" s="159">
        <f t="shared" si="309"/>
        <v>0.8840553082303441</v>
      </c>
      <c r="AV310" s="103"/>
    </row>
    <row r="311" spans="1:48" ht="38.25" hidden="1">
      <c r="A311" s="31"/>
      <c r="B311" s="27">
        <v>2710</v>
      </c>
      <c r="C311" s="18" t="s">
        <v>22</v>
      </c>
      <c r="D311" s="104">
        <v>7626</v>
      </c>
      <c r="E311" s="106"/>
      <c r="F311" s="106">
        <f t="shared" si="310"/>
        <v>7626</v>
      </c>
      <c r="G311" s="109"/>
      <c r="H311" s="106">
        <f t="shared" si="311"/>
        <v>7626</v>
      </c>
      <c r="I311" s="109"/>
      <c r="J311" s="106">
        <f aca="true" t="shared" si="322" ref="J311:J323">I311+H311</f>
        <v>7626</v>
      </c>
      <c r="K311" s="110"/>
      <c r="L311" s="106">
        <f aca="true" t="shared" si="323" ref="L311:L323">K311+H311</f>
        <v>7626</v>
      </c>
      <c r="M311" s="109"/>
      <c r="N311" s="106">
        <f aca="true" t="shared" si="324" ref="N311:R323">M311+L311</f>
        <v>7626</v>
      </c>
      <c r="O311" s="106"/>
      <c r="P311" s="106">
        <f t="shared" si="324"/>
        <v>7626</v>
      </c>
      <c r="Q311" s="109"/>
      <c r="R311" s="106">
        <f t="shared" si="324"/>
        <v>7626</v>
      </c>
      <c r="S311" s="109"/>
      <c r="T311" s="106">
        <f aca="true" t="shared" si="325" ref="T311:T323">S311+R311</f>
        <v>7626</v>
      </c>
      <c r="U311" s="109"/>
      <c r="V311" s="106">
        <f aca="true" t="shared" si="326" ref="V311:V323">U311+T311</f>
        <v>7626</v>
      </c>
      <c r="W311" s="109"/>
      <c r="X311" s="106">
        <f aca="true" t="shared" si="327" ref="X311:X323">W311+V311</f>
        <v>7626</v>
      </c>
      <c r="Y311" s="109"/>
      <c r="Z311" s="106">
        <f aca="true" t="shared" si="328" ref="Z311:Z324">Y311+X311</f>
        <v>7626</v>
      </c>
      <c r="AA311" s="109"/>
      <c r="AB311" s="106">
        <f aca="true" t="shared" si="329" ref="AB311:AB324">AA311+Z311</f>
        <v>7626</v>
      </c>
      <c r="AC311" s="109"/>
      <c r="AD311" s="106">
        <f aca="true" t="shared" si="330" ref="AD311:AD324">AC311+AB311</f>
        <v>7626</v>
      </c>
      <c r="AE311" s="109"/>
      <c r="AF311" s="106">
        <f aca="true" t="shared" si="331" ref="AF311:AF324">AE311+AD311</f>
        <v>7626</v>
      </c>
      <c r="AG311" s="147"/>
      <c r="AH311" s="106">
        <f aca="true" t="shared" si="332" ref="AH311:AH324">AG311+AF311</f>
        <v>7626</v>
      </c>
      <c r="AI311" s="109"/>
      <c r="AJ311" s="106">
        <f aca="true" t="shared" si="333" ref="AJ311:AJ324">AI311+AH311</f>
        <v>7626</v>
      </c>
      <c r="AK311" s="109"/>
      <c r="AL311" s="106">
        <f aca="true" t="shared" si="334" ref="AL311:AL324">AK311+AJ311</f>
        <v>7626</v>
      </c>
      <c r="AM311" s="109"/>
      <c r="AN311" s="106">
        <f aca="true" t="shared" si="335" ref="AN311:AN318">AM311+AL311</f>
        <v>7626</v>
      </c>
      <c r="AO311" s="106">
        <v>7626</v>
      </c>
      <c r="AP311" s="113">
        <v>7626</v>
      </c>
      <c r="AQ311" s="243">
        <v>7626</v>
      </c>
      <c r="AR311" s="275"/>
      <c r="AS311" s="244">
        <f t="shared" si="288"/>
        <v>7626</v>
      </c>
      <c r="AT311" s="103"/>
      <c r="AU311" s="159">
        <f t="shared" si="309"/>
        <v>0.75</v>
      </c>
      <c r="AV311" s="103"/>
    </row>
    <row r="312" spans="1:48" ht="25.5" hidden="1">
      <c r="A312" s="31"/>
      <c r="B312" s="27">
        <v>2820</v>
      </c>
      <c r="C312" s="18" t="s">
        <v>59</v>
      </c>
      <c r="D312" s="104">
        <v>24000</v>
      </c>
      <c r="E312" s="106"/>
      <c r="F312" s="106">
        <f t="shared" si="310"/>
        <v>24000</v>
      </c>
      <c r="G312" s="109"/>
      <c r="H312" s="106">
        <f t="shared" si="311"/>
        <v>24000</v>
      </c>
      <c r="I312" s="109"/>
      <c r="J312" s="106">
        <f t="shared" si="322"/>
        <v>24000</v>
      </c>
      <c r="K312" s="110"/>
      <c r="L312" s="106">
        <f t="shared" si="323"/>
        <v>24000</v>
      </c>
      <c r="M312" s="109"/>
      <c r="N312" s="106">
        <f t="shared" si="324"/>
        <v>24000</v>
      </c>
      <c r="O312" s="106"/>
      <c r="P312" s="106">
        <f t="shared" si="324"/>
        <v>24000</v>
      </c>
      <c r="Q312" s="109"/>
      <c r="R312" s="106">
        <f t="shared" si="324"/>
        <v>24000</v>
      </c>
      <c r="S312" s="109"/>
      <c r="T312" s="106">
        <f t="shared" si="325"/>
        <v>24000</v>
      </c>
      <c r="U312" s="109"/>
      <c r="V312" s="106">
        <f t="shared" si="326"/>
        <v>24000</v>
      </c>
      <c r="W312" s="109"/>
      <c r="X312" s="106">
        <f t="shared" si="327"/>
        <v>24000</v>
      </c>
      <c r="Y312" s="109"/>
      <c r="Z312" s="106">
        <f t="shared" si="328"/>
        <v>24000</v>
      </c>
      <c r="AA312" s="109"/>
      <c r="AB312" s="106">
        <f t="shared" si="329"/>
        <v>24000</v>
      </c>
      <c r="AC312" s="109"/>
      <c r="AD312" s="106">
        <f t="shared" si="330"/>
        <v>24000</v>
      </c>
      <c r="AE312" s="109"/>
      <c r="AF312" s="106">
        <f t="shared" si="331"/>
        <v>24000</v>
      </c>
      <c r="AG312" s="147"/>
      <c r="AH312" s="106">
        <f t="shared" si="332"/>
        <v>24000</v>
      </c>
      <c r="AI312" s="109"/>
      <c r="AJ312" s="106">
        <f t="shared" si="333"/>
        <v>24000</v>
      </c>
      <c r="AK312" s="109"/>
      <c r="AL312" s="106">
        <f t="shared" si="334"/>
        <v>24000</v>
      </c>
      <c r="AM312" s="109"/>
      <c r="AN312" s="106">
        <f t="shared" si="335"/>
        <v>24000</v>
      </c>
      <c r="AO312" s="106">
        <v>0</v>
      </c>
      <c r="AP312" s="113">
        <f>AO312+AN312</f>
        <v>24000</v>
      </c>
      <c r="AQ312" s="243">
        <f>AP312+AO312</f>
        <v>24000</v>
      </c>
      <c r="AR312" s="275"/>
      <c r="AS312" s="244">
        <f t="shared" si="288"/>
        <v>24000</v>
      </c>
      <c r="AT312" s="103"/>
      <c r="AU312" s="159">
        <f t="shared" si="309"/>
        <v>0.75</v>
      </c>
      <c r="AV312" s="103"/>
    </row>
    <row r="313" spans="1:48" ht="12.75" hidden="1">
      <c r="A313" s="31"/>
      <c r="B313" s="27">
        <v>3030</v>
      </c>
      <c r="C313" s="18" t="s">
        <v>34</v>
      </c>
      <c r="D313" s="104"/>
      <c r="E313" s="106"/>
      <c r="F313" s="106"/>
      <c r="G313" s="109"/>
      <c r="H313" s="106"/>
      <c r="I313" s="109"/>
      <c r="J313" s="106"/>
      <c r="K313" s="110"/>
      <c r="L313" s="106"/>
      <c r="M313" s="109"/>
      <c r="N313" s="106"/>
      <c r="O313" s="106"/>
      <c r="P313" s="106"/>
      <c r="Q313" s="109"/>
      <c r="R313" s="106"/>
      <c r="S313" s="109"/>
      <c r="T313" s="106"/>
      <c r="U313" s="109"/>
      <c r="V313" s="106"/>
      <c r="W313" s="109"/>
      <c r="X313" s="106"/>
      <c r="Y313" s="109"/>
      <c r="Z313" s="106"/>
      <c r="AA313" s="109">
        <v>1000</v>
      </c>
      <c r="AB313" s="106">
        <f t="shared" si="329"/>
        <v>1000</v>
      </c>
      <c r="AC313" s="109"/>
      <c r="AD313" s="106">
        <f t="shared" si="330"/>
        <v>1000</v>
      </c>
      <c r="AE313" s="109"/>
      <c r="AF313" s="106">
        <f t="shared" si="331"/>
        <v>1000</v>
      </c>
      <c r="AG313" s="147"/>
      <c r="AH313" s="106">
        <f t="shared" si="332"/>
        <v>1000</v>
      </c>
      <c r="AI313" s="109"/>
      <c r="AJ313" s="106">
        <f t="shared" si="333"/>
        <v>1000</v>
      </c>
      <c r="AK313" s="109"/>
      <c r="AL313" s="106">
        <f t="shared" si="334"/>
        <v>1000</v>
      </c>
      <c r="AM313" s="109"/>
      <c r="AN313" s="106">
        <f t="shared" si="335"/>
        <v>1000</v>
      </c>
      <c r="AO313" s="106">
        <v>0</v>
      </c>
      <c r="AP313" s="113">
        <v>163.19</v>
      </c>
      <c r="AQ313" s="243">
        <v>500</v>
      </c>
      <c r="AR313" s="275"/>
      <c r="AS313" s="244">
        <f t="shared" si="288"/>
        <v>500</v>
      </c>
      <c r="AT313" s="103"/>
      <c r="AU313" s="159">
        <f t="shared" si="309"/>
        <v>2.297934922482995</v>
      </c>
      <c r="AV313" s="103"/>
    </row>
    <row r="314" spans="1:48" ht="12.75" hidden="1">
      <c r="A314" s="31"/>
      <c r="B314" s="27">
        <v>4110</v>
      </c>
      <c r="C314" s="18" t="s">
        <v>39</v>
      </c>
      <c r="D314" s="104">
        <v>800</v>
      </c>
      <c r="E314" s="106"/>
      <c r="F314" s="106">
        <f t="shared" si="310"/>
        <v>800</v>
      </c>
      <c r="G314" s="109"/>
      <c r="H314" s="106">
        <f t="shared" si="311"/>
        <v>800</v>
      </c>
      <c r="I314" s="109"/>
      <c r="J314" s="106">
        <f t="shared" si="322"/>
        <v>800</v>
      </c>
      <c r="K314" s="110"/>
      <c r="L314" s="106">
        <f t="shared" si="323"/>
        <v>800</v>
      </c>
      <c r="M314" s="109"/>
      <c r="N314" s="106">
        <f t="shared" si="324"/>
        <v>800</v>
      </c>
      <c r="O314" s="106"/>
      <c r="P314" s="106">
        <f t="shared" si="324"/>
        <v>800</v>
      </c>
      <c r="Q314" s="109"/>
      <c r="R314" s="106">
        <f t="shared" si="324"/>
        <v>800</v>
      </c>
      <c r="S314" s="109"/>
      <c r="T314" s="106">
        <f t="shared" si="325"/>
        <v>800</v>
      </c>
      <c r="U314" s="109"/>
      <c r="V314" s="106">
        <f t="shared" si="326"/>
        <v>800</v>
      </c>
      <c r="W314" s="109"/>
      <c r="X314" s="106">
        <f t="shared" si="327"/>
        <v>800</v>
      </c>
      <c r="Y314" s="109"/>
      <c r="Z314" s="106">
        <f t="shared" si="328"/>
        <v>800</v>
      </c>
      <c r="AA314" s="109"/>
      <c r="AB314" s="106">
        <f t="shared" si="329"/>
        <v>800</v>
      </c>
      <c r="AC314" s="109"/>
      <c r="AD314" s="106">
        <f t="shared" si="330"/>
        <v>800</v>
      </c>
      <c r="AE314" s="109"/>
      <c r="AF314" s="106">
        <f t="shared" si="331"/>
        <v>800</v>
      </c>
      <c r="AG314" s="147"/>
      <c r="AH314" s="106">
        <f t="shared" si="332"/>
        <v>800</v>
      </c>
      <c r="AI314" s="109"/>
      <c r="AJ314" s="106">
        <f t="shared" si="333"/>
        <v>800</v>
      </c>
      <c r="AK314" s="109"/>
      <c r="AL314" s="106">
        <f t="shared" si="334"/>
        <v>800</v>
      </c>
      <c r="AM314" s="109"/>
      <c r="AN314" s="106">
        <f t="shared" si="335"/>
        <v>800</v>
      </c>
      <c r="AO314" s="106">
        <v>0</v>
      </c>
      <c r="AP314" s="113">
        <v>0</v>
      </c>
      <c r="AQ314" s="243">
        <v>1000</v>
      </c>
      <c r="AR314" s="275"/>
      <c r="AS314" s="244">
        <f t="shared" si="288"/>
        <v>1000</v>
      </c>
      <c r="AT314" s="103"/>
      <c r="AU314" s="159" t="e">
        <f t="shared" si="309"/>
        <v>#DIV/0!</v>
      </c>
      <c r="AV314" s="103"/>
    </row>
    <row r="315" spans="1:48" ht="12.75" hidden="1">
      <c r="A315" s="31"/>
      <c r="B315" s="27">
        <v>4120</v>
      </c>
      <c r="C315" s="18" t="s">
        <v>40</v>
      </c>
      <c r="D315" s="104">
        <v>200</v>
      </c>
      <c r="E315" s="106"/>
      <c r="F315" s="106">
        <f t="shared" si="310"/>
        <v>200</v>
      </c>
      <c r="G315" s="109"/>
      <c r="H315" s="106">
        <f t="shared" si="311"/>
        <v>200</v>
      </c>
      <c r="I315" s="109"/>
      <c r="J315" s="106">
        <f t="shared" si="322"/>
        <v>200</v>
      </c>
      <c r="K315" s="110"/>
      <c r="L315" s="106">
        <f t="shared" si="323"/>
        <v>200</v>
      </c>
      <c r="M315" s="109"/>
      <c r="N315" s="106">
        <f t="shared" si="324"/>
        <v>200</v>
      </c>
      <c r="O315" s="106"/>
      <c r="P315" s="106">
        <f t="shared" si="324"/>
        <v>200</v>
      </c>
      <c r="Q315" s="109"/>
      <c r="R315" s="106">
        <f t="shared" si="324"/>
        <v>200</v>
      </c>
      <c r="S315" s="109"/>
      <c r="T315" s="106">
        <f t="shared" si="325"/>
        <v>200</v>
      </c>
      <c r="U315" s="109"/>
      <c r="V315" s="106">
        <f t="shared" si="326"/>
        <v>200</v>
      </c>
      <c r="W315" s="109"/>
      <c r="X315" s="106">
        <f t="shared" si="327"/>
        <v>200</v>
      </c>
      <c r="Y315" s="109"/>
      <c r="Z315" s="106">
        <f t="shared" si="328"/>
        <v>200</v>
      </c>
      <c r="AA315" s="109"/>
      <c r="AB315" s="106">
        <f t="shared" si="329"/>
        <v>200</v>
      </c>
      <c r="AC315" s="109"/>
      <c r="AD315" s="106">
        <f t="shared" si="330"/>
        <v>200</v>
      </c>
      <c r="AE315" s="109"/>
      <c r="AF315" s="106">
        <f t="shared" si="331"/>
        <v>200</v>
      </c>
      <c r="AG315" s="147"/>
      <c r="AH315" s="106">
        <f t="shared" si="332"/>
        <v>200</v>
      </c>
      <c r="AI315" s="109"/>
      <c r="AJ315" s="106">
        <f t="shared" si="333"/>
        <v>200</v>
      </c>
      <c r="AK315" s="109"/>
      <c r="AL315" s="106">
        <f t="shared" si="334"/>
        <v>200</v>
      </c>
      <c r="AM315" s="109"/>
      <c r="AN315" s="106">
        <f t="shared" si="335"/>
        <v>200</v>
      </c>
      <c r="AO315" s="106">
        <v>0</v>
      </c>
      <c r="AP315" s="113">
        <v>0</v>
      </c>
      <c r="AQ315" s="243">
        <v>200</v>
      </c>
      <c r="AR315" s="275"/>
      <c r="AS315" s="244">
        <f t="shared" si="288"/>
        <v>200</v>
      </c>
      <c r="AT315" s="103"/>
      <c r="AU315" s="159" t="e">
        <f t="shared" si="309"/>
        <v>#DIV/0!</v>
      </c>
      <c r="AV315" s="103"/>
    </row>
    <row r="316" spans="1:48" ht="12.75" hidden="1">
      <c r="A316" s="31"/>
      <c r="B316" s="27">
        <v>4170</v>
      </c>
      <c r="C316" s="18" t="s">
        <v>42</v>
      </c>
      <c r="D316" s="104">
        <v>17000</v>
      </c>
      <c r="E316" s="106"/>
      <c r="F316" s="106">
        <f t="shared" si="310"/>
        <v>17000</v>
      </c>
      <c r="G316" s="109"/>
      <c r="H316" s="106">
        <f t="shared" si="311"/>
        <v>17000</v>
      </c>
      <c r="I316" s="109"/>
      <c r="J316" s="106">
        <f t="shared" si="322"/>
        <v>17000</v>
      </c>
      <c r="K316" s="110"/>
      <c r="L316" s="106">
        <f t="shared" si="323"/>
        <v>17000</v>
      </c>
      <c r="M316" s="109"/>
      <c r="N316" s="106">
        <f t="shared" si="324"/>
        <v>17000</v>
      </c>
      <c r="O316" s="106"/>
      <c r="P316" s="106">
        <f t="shared" si="324"/>
        <v>17000</v>
      </c>
      <c r="Q316" s="109"/>
      <c r="R316" s="106">
        <f t="shared" si="324"/>
        <v>17000</v>
      </c>
      <c r="S316" s="109"/>
      <c r="T316" s="106">
        <f t="shared" si="325"/>
        <v>17000</v>
      </c>
      <c r="U316" s="109"/>
      <c r="V316" s="106">
        <f t="shared" si="326"/>
        <v>17000</v>
      </c>
      <c r="W316" s="109"/>
      <c r="X316" s="106">
        <f t="shared" si="327"/>
        <v>17000</v>
      </c>
      <c r="Y316" s="109"/>
      <c r="Z316" s="106">
        <f t="shared" si="328"/>
        <v>17000</v>
      </c>
      <c r="AA316" s="109"/>
      <c r="AB316" s="106">
        <f t="shared" si="329"/>
        <v>17000</v>
      </c>
      <c r="AC316" s="109"/>
      <c r="AD316" s="106">
        <f t="shared" si="330"/>
        <v>17000</v>
      </c>
      <c r="AE316" s="109"/>
      <c r="AF316" s="106">
        <f t="shared" si="331"/>
        <v>17000</v>
      </c>
      <c r="AG316" s="147"/>
      <c r="AH316" s="106">
        <f t="shared" si="332"/>
        <v>17000</v>
      </c>
      <c r="AI316" s="109"/>
      <c r="AJ316" s="106">
        <f t="shared" si="333"/>
        <v>17000</v>
      </c>
      <c r="AK316" s="109">
        <v>3000</v>
      </c>
      <c r="AL316" s="106">
        <f t="shared" si="334"/>
        <v>20000</v>
      </c>
      <c r="AM316" s="109"/>
      <c r="AN316" s="106">
        <f t="shared" si="335"/>
        <v>20000</v>
      </c>
      <c r="AO316" s="106">
        <v>17019</v>
      </c>
      <c r="AP316" s="113">
        <f>15259+70+30+30.4+16+5</f>
        <v>15410.4</v>
      </c>
      <c r="AQ316" s="243">
        <v>19300</v>
      </c>
      <c r="AR316" s="275"/>
      <c r="AS316" s="244">
        <f t="shared" si="288"/>
        <v>19300</v>
      </c>
      <c r="AT316" s="103"/>
      <c r="AU316" s="159">
        <f t="shared" si="309"/>
        <v>0.9393007319732128</v>
      </c>
      <c r="AV316" s="103"/>
    </row>
    <row r="317" spans="1:48" ht="12.75" hidden="1">
      <c r="A317" s="31"/>
      <c r="B317" s="27">
        <v>4210</v>
      </c>
      <c r="C317" s="18" t="s">
        <v>14</v>
      </c>
      <c r="D317" s="104">
        <v>20374</v>
      </c>
      <c r="E317" s="106"/>
      <c r="F317" s="106">
        <f t="shared" si="310"/>
        <v>20374</v>
      </c>
      <c r="G317" s="109"/>
      <c r="H317" s="106">
        <f t="shared" si="311"/>
        <v>20374</v>
      </c>
      <c r="I317" s="109"/>
      <c r="J317" s="106">
        <f t="shared" si="322"/>
        <v>20374</v>
      </c>
      <c r="K317" s="110"/>
      <c r="L317" s="106">
        <f t="shared" si="323"/>
        <v>20374</v>
      </c>
      <c r="M317" s="109"/>
      <c r="N317" s="106">
        <f t="shared" si="324"/>
        <v>20374</v>
      </c>
      <c r="O317" s="106"/>
      <c r="P317" s="106">
        <f t="shared" si="324"/>
        <v>20374</v>
      </c>
      <c r="Q317" s="109"/>
      <c r="R317" s="106">
        <f t="shared" si="324"/>
        <v>20374</v>
      </c>
      <c r="S317" s="109"/>
      <c r="T317" s="106">
        <f t="shared" si="325"/>
        <v>20374</v>
      </c>
      <c r="U317" s="109"/>
      <c r="V317" s="106">
        <f t="shared" si="326"/>
        <v>20374</v>
      </c>
      <c r="W317" s="109"/>
      <c r="X317" s="106">
        <f t="shared" si="327"/>
        <v>20374</v>
      </c>
      <c r="Y317" s="109">
        <v>-3300</v>
      </c>
      <c r="Z317" s="106">
        <f t="shared" si="328"/>
        <v>17074</v>
      </c>
      <c r="AA317" s="109"/>
      <c r="AB317" s="106">
        <f t="shared" si="329"/>
        <v>17074</v>
      </c>
      <c r="AC317" s="109"/>
      <c r="AD317" s="106">
        <f t="shared" si="330"/>
        <v>17074</v>
      </c>
      <c r="AE317" s="109"/>
      <c r="AF317" s="106">
        <f t="shared" si="331"/>
        <v>17074</v>
      </c>
      <c r="AG317" s="147"/>
      <c r="AH317" s="106">
        <f t="shared" si="332"/>
        <v>17074</v>
      </c>
      <c r="AI317" s="109"/>
      <c r="AJ317" s="106">
        <f t="shared" si="333"/>
        <v>17074</v>
      </c>
      <c r="AK317" s="109"/>
      <c r="AL317" s="106">
        <f t="shared" si="334"/>
        <v>17074</v>
      </c>
      <c r="AM317" s="109"/>
      <c r="AN317" s="106">
        <f t="shared" si="335"/>
        <v>17074</v>
      </c>
      <c r="AO317" s="106">
        <v>31060</v>
      </c>
      <c r="AP317" s="113">
        <v>13588</v>
      </c>
      <c r="AQ317" s="243">
        <v>20200</v>
      </c>
      <c r="AR317" s="275"/>
      <c r="AS317" s="244">
        <f t="shared" si="288"/>
        <v>20200</v>
      </c>
      <c r="AT317" s="103"/>
      <c r="AU317" s="159">
        <f t="shared" si="309"/>
        <v>1.1149543715042685</v>
      </c>
      <c r="AV317" s="103"/>
    </row>
    <row r="318" spans="1:48" ht="12.75" hidden="1">
      <c r="A318" s="31"/>
      <c r="B318" s="27">
        <v>4260</v>
      </c>
      <c r="C318" s="18" t="s">
        <v>43</v>
      </c>
      <c r="D318" s="104">
        <v>5000</v>
      </c>
      <c r="E318" s="106"/>
      <c r="F318" s="106">
        <f t="shared" si="310"/>
        <v>5000</v>
      </c>
      <c r="G318" s="109"/>
      <c r="H318" s="106">
        <f t="shared" si="311"/>
        <v>5000</v>
      </c>
      <c r="I318" s="109"/>
      <c r="J318" s="106">
        <f t="shared" si="322"/>
        <v>5000</v>
      </c>
      <c r="K318" s="110"/>
      <c r="L318" s="106">
        <f t="shared" si="323"/>
        <v>5000</v>
      </c>
      <c r="M318" s="109"/>
      <c r="N318" s="106">
        <f t="shared" si="324"/>
        <v>5000</v>
      </c>
      <c r="O318" s="106"/>
      <c r="P318" s="106">
        <f t="shared" si="324"/>
        <v>5000</v>
      </c>
      <c r="Q318" s="109"/>
      <c r="R318" s="106">
        <f t="shared" si="324"/>
        <v>5000</v>
      </c>
      <c r="S318" s="109"/>
      <c r="T318" s="106">
        <f t="shared" si="325"/>
        <v>5000</v>
      </c>
      <c r="U318" s="109"/>
      <c r="V318" s="106">
        <f t="shared" si="326"/>
        <v>5000</v>
      </c>
      <c r="W318" s="109"/>
      <c r="X318" s="106">
        <f t="shared" si="327"/>
        <v>5000</v>
      </c>
      <c r="Y318" s="109"/>
      <c r="Z318" s="106">
        <f t="shared" si="328"/>
        <v>5000</v>
      </c>
      <c r="AA318" s="109">
        <v>1500</v>
      </c>
      <c r="AB318" s="106">
        <f t="shared" si="329"/>
        <v>6500</v>
      </c>
      <c r="AC318" s="109"/>
      <c r="AD318" s="106">
        <f t="shared" si="330"/>
        <v>6500</v>
      </c>
      <c r="AE318" s="109"/>
      <c r="AF318" s="106">
        <f t="shared" si="331"/>
        <v>6500</v>
      </c>
      <c r="AG318" s="147"/>
      <c r="AH318" s="106">
        <f t="shared" si="332"/>
        <v>6500</v>
      </c>
      <c r="AI318" s="109"/>
      <c r="AJ318" s="106">
        <f t="shared" si="333"/>
        <v>6500</v>
      </c>
      <c r="AK318" s="109"/>
      <c r="AL318" s="106">
        <f t="shared" si="334"/>
        <v>6500</v>
      </c>
      <c r="AM318" s="109"/>
      <c r="AN318" s="106">
        <f t="shared" si="335"/>
        <v>6500</v>
      </c>
      <c r="AO318" s="106">
        <v>7387</v>
      </c>
      <c r="AP318" s="113">
        <v>4930</v>
      </c>
      <c r="AQ318" s="243">
        <v>9000</v>
      </c>
      <c r="AR318" s="275"/>
      <c r="AS318" s="244">
        <f t="shared" si="288"/>
        <v>9000</v>
      </c>
      <c r="AT318" s="103"/>
      <c r="AU318" s="159">
        <f t="shared" si="309"/>
        <v>1.3691683569979716</v>
      </c>
      <c r="AV318" s="103"/>
    </row>
    <row r="319" spans="1:48" ht="12.75" hidden="1">
      <c r="A319" s="31"/>
      <c r="B319" s="27">
        <v>4270</v>
      </c>
      <c r="C319" s="18" t="s">
        <v>24</v>
      </c>
      <c r="D319" s="104"/>
      <c r="E319" s="106"/>
      <c r="F319" s="106"/>
      <c r="G319" s="109"/>
      <c r="H319" s="106"/>
      <c r="I319" s="109"/>
      <c r="J319" s="106"/>
      <c r="K319" s="110"/>
      <c r="L319" s="106"/>
      <c r="M319" s="109"/>
      <c r="N319" s="106"/>
      <c r="O319" s="106"/>
      <c r="P319" s="106"/>
      <c r="Q319" s="109"/>
      <c r="R319" s="106"/>
      <c r="S319" s="109"/>
      <c r="T319" s="106"/>
      <c r="U319" s="109"/>
      <c r="V319" s="106"/>
      <c r="W319" s="109"/>
      <c r="X319" s="106"/>
      <c r="Y319" s="109"/>
      <c r="Z319" s="106"/>
      <c r="AA319" s="109"/>
      <c r="AB319" s="106"/>
      <c r="AC319" s="109"/>
      <c r="AD319" s="106"/>
      <c r="AE319" s="109"/>
      <c r="AF319" s="106"/>
      <c r="AG319" s="147"/>
      <c r="AH319" s="106"/>
      <c r="AI319" s="109"/>
      <c r="AJ319" s="106"/>
      <c r="AK319" s="109"/>
      <c r="AL319" s="106"/>
      <c r="AM319" s="109"/>
      <c r="AN319" s="106"/>
      <c r="AO319" s="106">
        <v>4000</v>
      </c>
      <c r="AP319" s="113">
        <v>0</v>
      </c>
      <c r="AQ319" s="243">
        <v>0</v>
      </c>
      <c r="AR319" s="275"/>
      <c r="AS319" s="244">
        <f t="shared" si="288"/>
        <v>0</v>
      </c>
      <c r="AT319" s="103"/>
      <c r="AU319" s="159" t="e">
        <f t="shared" si="309"/>
        <v>#DIV/0!</v>
      </c>
      <c r="AV319" s="103"/>
    </row>
    <row r="320" spans="1:48" ht="12.75" hidden="1">
      <c r="A320" s="31"/>
      <c r="B320" s="27">
        <v>4300</v>
      </c>
      <c r="C320" s="18" t="s">
        <v>15</v>
      </c>
      <c r="D320" s="104">
        <v>19000</v>
      </c>
      <c r="E320" s="106"/>
      <c r="F320" s="106">
        <f t="shared" si="310"/>
        <v>19000</v>
      </c>
      <c r="G320" s="109"/>
      <c r="H320" s="106">
        <f t="shared" si="311"/>
        <v>19000</v>
      </c>
      <c r="I320" s="109"/>
      <c r="J320" s="106">
        <f t="shared" si="322"/>
        <v>19000</v>
      </c>
      <c r="K320" s="110"/>
      <c r="L320" s="106">
        <f t="shared" si="323"/>
        <v>19000</v>
      </c>
      <c r="M320" s="109"/>
      <c r="N320" s="106">
        <f t="shared" si="324"/>
        <v>19000</v>
      </c>
      <c r="O320" s="106"/>
      <c r="P320" s="106">
        <f t="shared" si="324"/>
        <v>19000</v>
      </c>
      <c r="Q320" s="109"/>
      <c r="R320" s="106">
        <f t="shared" si="324"/>
        <v>19000</v>
      </c>
      <c r="S320" s="109"/>
      <c r="T320" s="106">
        <f t="shared" si="325"/>
        <v>19000</v>
      </c>
      <c r="U320" s="109"/>
      <c r="V320" s="106">
        <f t="shared" si="326"/>
        <v>19000</v>
      </c>
      <c r="W320" s="109"/>
      <c r="X320" s="106">
        <f t="shared" si="327"/>
        <v>19000</v>
      </c>
      <c r="Y320" s="109">
        <v>3000</v>
      </c>
      <c r="Z320" s="106">
        <f t="shared" si="328"/>
        <v>22000</v>
      </c>
      <c r="AA320" s="109">
        <v>4000</v>
      </c>
      <c r="AB320" s="106">
        <f t="shared" si="329"/>
        <v>26000</v>
      </c>
      <c r="AC320" s="109"/>
      <c r="AD320" s="106">
        <f t="shared" si="330"/>
        <v>26000</v>
      </c>
      <c r="AE320" s="109"/>
      <c r="AF320" s="106">
        <f t="shared" si="331"/>
        <v>26000</v>
      </c>
      <c r="AG320" s="147"/>
      <c r="AH320" s="106">
        <f t="shared" si="332"/>
        <v>26000</v>
      </c>
      <c r="AI320" s="109"/>
      <c r="AJ320" s="106">
        <f t="shared" si="333"/>
        <v>26000</v>
      </c>
      <c r="AK320" s="109">
        <f>1500+1800</f>
        <v>3300</v>
      </c>
      <c r="AL320" s="106">
        <f t="shared" si="334"/>
        <v>29300</v>
      </c>
      <c r="AM320" s="109"/>
      <c r="AN320" s="106">
        <f>AM320+AL320</f>
        <v>29300</v>
      </c>
      <c r="AO320" s="106">
        <v>29813</v>
      </c>
      <c r="AP320" s="113">
        <v>25504</v>
      </c>
      <c r="AQ320" s="243">
        <v>25374</v>
      </c>
      <c r="AR320" s="275"/>
      <c r="AS320" s="244">
        <f t="shared" si="288"/>
        <v>25374</v>
      </c>
      <c r="AT320" s="103"/>
      <c r="AU320" s="159">
        <f t="shared" si="309"/>
        <v>0.746177070263488</v>
      </c>
      <c r="AV320" s="103"/>
    </row>
    <row r="321" spans="1:48" ht="25.5" hidden="1">
      <c r="A321" s="31"/>
      <c r="B321" s="27">
        <v>4370</v>
      </c>
      <c r="C321" s="18" t="s">
        <v>47</v>
      </c>
      <c r="D321" s="104">
        <v>1500</v>
      </c>
      <c r="E321" s="106"/>
      <c r="F321" s="106">
        <f t="shared" si="310"/>
        <v>1500</v>
      </c>
      <c r="G321" s="109"/>
      <c r="H321" s="106">
        <f t="shared" si="311"/>
        <v>1500</v>
      </c>
      <c r="I321" s="109"/>
      <c r="J321" s="106">
        <f t="shared" si="322"/>
        <v>1500</v>
      </c>
      <c r="K321" s="110"/>
      <c r="L321" s="106">
        <f t="shared" si="323"/>
        <v>1500</v>
      </c>
      <c r="M321" s="109"/>
      <c r="N321" s="106">
        <f t="shared" si="324"/>
        <v>1500</v>
      </c>
      <c r="O321" s="106"/>
      <c r="P321" s="106">
        <f t="shared" si="324"/>
        <v>1500</v>
      </c>
      <c r="Q321" s="109"/>
      <c r="R321" s="106">
        <f t="shared" si="324"/>
        <v>1500</v>
      </c>
      <c r="S321" s="109"/>
      <c r="T321" s="106">
        <f t="shared" si="325"/>
        <v>1500</v>
      </c>
      <c r="U321" s="109"/>
      <c r="V321" s="106">
        <f t="shared" si="326"/>
        <v>1500</v>
      </c>
      <c r="W321" s="109"/>
      <c r="X321" s="106">
        <f t="shared" si="327"/>
        <v>1500</v>
      </c>
      <c r="Y321" s="109"/>
      <c r="Z321" s="106">
        <f t="shared" si="328"/>
        <v>1500</v>
      </c>
      <c r="AA321" s="109"/>
      <c r="AB321" s="106">
        <f t="shared" si="329"/>
        <v>1500</v>
      </c>
      <c r="AC321" s="109"/>
      <c r="AD321" s="106">
        <f t="shared" si="330"/>
        <v>1500</v>
      </c>
      <c r="AE321" s="109"/>
      <c r="AF321" s="106">
        <f t="shared" si="331"/>
        <v>1500</v>
      </c>
      <c r="AG321" s="147"/>
      <c r="AH321" s="106">
        <f t="shared" si="332"/>
        <v>1500</v>
      </c>
      <c r="AI321" s="109"/>
      <c r="AJ321" s="106">
        <f t="shared" si="333"/>
        <v>1500</v>
      </c>
      <c r="AK321" s="109"/>
      <c r="AL321" s="106">
        <f t="shared" si="334"/>
        <v>1500</v>
      </c>
      <c r="AM321" s="109"/>
      <c r="AN321" s="106">
        <f>AM321+AL321</f>
        <v>1500</v>
      </c>
      <c r="AO321" s="106">
        <v>1045</v>
      </c>
      <c r="AP321" s="113">
        <v>758</v>
      </c>
      <c r="AQ321" s="243">
        <v>1000</v>
      </c>
      <c r="AR321" s="275"/>
      <c r="AS321" s="244">
        <f t="shared" si="288"/>
        <v>1000</v>
      </c>
      <c r="AT321" s="103"/>
      <c r="AU321" s="159">
        <f t="shared" si="309"/>
        <v>0.9894459102902375</v>
      </c>
      <c r="AV321" s="103"/>
    </row>
    <row r="322" spans="1:48" ht="12.75" hidden="1">
      <c r="A322" s="31"/>
      <c r="B322" s="27">
        <v>4410</v>
      </c>
      <c r="C322" s="18" t="s">
        <v>48</v>
      </c>
      <c r="D322" s="104">
        <v>1000</v>
      </c>
      <c r="E322" s="106"/>
      <c r="F322" s="106">
        <f t="shared" si="310"/>
        <v>1000</v>
      </c>
      <c r="G322" s="109"/>
      <c r="H322" s="106">
        <f t="shared" si="311"/>
        <v>1000</v>
      </c>
      <c r="I322" s="109"/>
      <c r="J322" s="106">
        <f t="shared" si="322"/>
        <v>1000</v>
      </c>
      <c r="K322" s="110"/>
      <c r="L322" s="106">
        <f t="shared" si="323"/>
        <v>1000</v>
      </c>
      <c r="M322" s="109"/>
      <c r="N322" s="106">
        <f t="shared" si="324"/>
        <v>1000</v>
      </c>
      <c r="O322" s="106"/>
      <c r="P322" s="106">
        <f t="shared" si="324"/>
        <v>1000</v>
      </c>
      <c r="Q322" s="109"/>
      <c r="R322" s="106">
        <f t="shared" si="324"/>
        <v>1000</v>
      </c>
      <c r="S322" s="109"/>
      <c r="T322" s="106">
        <f t="shared" si="325"/>
        <v>1000</v>
      </c>
      <c r="U322" s="109"/>
      <c r="V322" s="106">
        <f t="shared" si="326"/>
        <v>1000</v>
      </c>
      <c r="W322" s="109"/>
      <c r="X322" s="106">
        <f t="shared" si="327"/>
        <v>1000</v>
      </c>
      <c r="Y322" s="109"/>
      <c r="Z322" s="106">
        <f t="shared" si="328"/>
        <v>1000</v>
      </c>
      <c r="AA322" s="109">
        <v>-1000</v>
      </c>
      <c r="AB322" s="106">
        <f t="shared" si="329"/>
        <v>0</v>
      </c>
      <c r="AC322" s="109"/>
      <c r="AD322" s="106">
        <f t="shared" si="330"/>
        <v>0</v>
      </c>
      <c r="AE322" s="109"/>
      <c r="AF322" s="106">
        <f t="shared" si="331"/>
        <v>0</v>
      </c>
      <c r="AG322" s="147"/>
      <c r="AH322" s="106">
        <f t="shared" si="332"/>
        <v>0</v>
      </c>
      <c r="AI322" s="109"/>
      <c r="AJ322" s="106">
        <f t="shared" si="333"/>
        <v>0</v>
      </c>
      <c r="AK322" s="109"/>
      <c r="AL322" s="106">
        <f t="shared" si="334"/>
        <v>0</v>
      </c>
      <c r="AM322" s="109"/>
      <c r="AN322" s="106">
        <f>AM322+AL322</f>
        <v>0</v>
      </c>
      <c r="AO322" s="106">
        <v>157</v>
      </c>
      <c r="AP322" s="113">
        <v>0</v>
      </c>
      <c r="AQ322" s="250">
        <v>0</v>
      </c>
      <c r="AR322" s="278"/>
      <c r="AS322" s="244">
        <f t="shared" si="288"/>
        <v>0</v>
      </c>
      <c r="AT322" s="103"/>
      <c r="AU322" s="159" t="e">
        <f t="shared" si="309"/>
        <v>#DIV/0!</v>
      </c>
      <c r="AV322" s="103"/>
    </row>
    <row r="323" spans="1:48" ht="25.5" hidden="1">
      <c r="A323" s="31"/>
      <c r="B323" s="27">
        <v>4740</v>
      </c>
      <c r="C323" s="18" t="s">
        <v>52</v>
      </c>
      <c r="D323" s="104">
        <v>500</v>
      </c>
      <c r="E323" s="106"/>
      <c r="F323" s="106">
        <f t="shared" si="310"/>
        <v>500</v>
      </c>
      <c r="G323" s="109"/>
      <c r="H323" s="106">
        <f t="shared" si="311"/>
        <v>500</v>
      </c>
      <c r="I323" s="109"/>
      <c r="J323" s="106">
        <f t="shared" si="322"/>
        <v>500</v>
      </c>
      <c r="K323" s="110"/>
      <c r="L323" s="106">
        <f t="shared" si="323"/>
        <v>500</v>
      </c>
      <c r="M323" s="109"/>
      <c r="N323" s="106">
        <f t="shared" si="324"/>
        <v>500</v>
      </c>
      <c r="O323" s="106"/>
      <c r="P323" s="106">
        <f t="shared" si="324"/>
        <v>500</v>
      </c>
      <c r="Q323" s="109"/>
      <c r="R323" s="106">
        <f t="shared" si="324"/>
        <v>500</v>
      </c>
      <c r="S323" s="109"/>
      <c r="T323" s="106">
        <f t="shared" si="325"/>
        <v>500</v>
      </c>
      <c r="U323" s="109"/>
      <c r="V323" s="106">
        <f t="shared" si="326"/>
        <v>500</v>
      </c>
      <c r="W323" s="109"/>
      <c r="X323" s="106">
        <f t="shared" si="327"/>
        <v>500</v>
      </c>
      <c r="Y323" s="109"/>
      <c r="Z323" s="106">
        <f t="shared" si="328"/>
        <v>500</v>
      </c>
      <c r="AA323" s="109"/>
      <c r="AB323" s="106">
        <f t="shared" si="329"/>
        <v>500</v>
      </c>
      <c r="AC323" s="109"/>
      <c r="AD323" s="106">
        <f t="shared" si="330"/>
        <v>500</v>
      </c>
      <c r="AE323" s="109"/>
      <c r="AF323" s="106">
        <f t="shared" si="331"/>
        <v>500</v>
      </c>
      <c r="AG323" s="147"/>
      <c r="AH323" s="106">
        <f t="shared" si="332"/>
        <v>500</v>
      </c>
      <c r="AI323" s="109"/>
      <c r="AJ323" s="106">
        <f t="shared" si="333"/>
        <v>500</v>
      </c>
      <c r="AK323" s="109"/>
      <c r="AL323" s="106">
        <f t="shared" si="334"/>
        <v>500</v>
      </c>
      <c r="AM323" s="109"/>
      <c r="AN323" s="106">
        <f>AM323+AL323</f>
        <v>500</v>
      </c>
      <c r="AO323" s="106">
        <v>0</v>
      </c>
      <c r="AP323" s="113">
        <v>353</v>
      </c>
      <c r="AQ323" s="243">
        <v>500</v>
      </c>
      <c r="AR323" s="275"/>
      <c r="AS323" s="244">
        <f t="shared" si="288"/>
        <v>500</v>
      </c>
      <c r="AT323" s="103"/>
      <c r="AU323" s="159">
        <f t="shared" si="309"/>
        <v>1.0623229461756374</v>
      </c>
      <c r="AV323" s="103"/>
    </row>
    <row r="324" spans="1:48" ht="12.75" hidden="1">
      <c r="A324" s="31"/>
      <c r="B324" s="27">
        <v>4750</v>
      </c>
      <c r="C324" s="18" t="s">
        <v>53</v>
      </c>
      <c r="D324" s="104"/>
      <c r="E324" s="106"/>
      <c r="F324" s="106"/>
      <c r="G324" s="109"/>
      <c r="H324" s="106"/>
      <c r="I324" s="109"/>
      <c r="J324" s="106"/>
      <c r="K324" s="110"/>
      <c r="L324" s="106"/>
      <c r="M324" s="109"/>
      <c r="N324" s="106"/>
      <c r="O324" s="106"/>
      <c r="P324" s="106"/>
      <c r="Q324" s="109"/>
      <c r="R324" s="106"/>
      <c r="S324" s="109"/>
      <c r="T324" s="106"/>
      <c r="U324" s="109"/>
      <c r="V324" s="106"/>
      <c r="W324" s="109"/>
      <c r="X324" s="106"/>
      <c r="Y324" s="109">
        <v>300</v>
      </c>
      <c r="Z324" s="106">
        <f t="shared" si="328"/>
        <v>300</v>
      </c>
      <c r="AA324" s="109"/>
      <c r="AB324" s="106">
        <f t="shared" si="329"/>
        <v>300</v>
      </c>
      <c r="AC324" s="109"/>
      <c r="AD324" s="106">
        <f t="shared" si="330"/>
        <v>300</v>
      </c>
      <c r="AE324" s="109"/>
      <c r="AF324" s="106">
        <f t="shared" si="331"/>
        <v>300</v>
      </c>
      <c r="AG324" s="147"/>
      <c r="AH324" s="106">
        <f t="shared" si="332"/>
        <v>300</v>
      </c>
      <c r="AI324" s="109"/>
      <c r="AJ324" s="106">
        <f t="shared" si="333"/>
        <v>300</v>
      </c>
      <c r="AK324" s="109"/>
      <c r="AL324" s="106">
        <f t="shared" si="334"/>
        <v>300</v>
      </c>
      <c r="AM324" s="109"/>
      <c r="AN324" s="106">
        <f>AM324+AL324</f>
        <v>300</v>
      </c>
      <c r="AO324" s="106">
        <v>0</v>
      </c>
      <c r="AP324" s="113">
        <v>139</v>
      </c>
      <c r="AQ324" s="243">
        <v>300</v>
      </c>
      <c r="AR324" s="275"/>
      <c r="AS324" s="244">
        <f t="shared" si="288"/>
        <v>300</v>
      </c>
      <c r="AT324" s="103"/>
      <c r="AU324" s="159">
        <f t="shared" si="309"/>
        <v>1.618705035971223</v>
      </c>
      <c r="AV324" s="103"/>
    </row>
    <row r="325" spans="1:55" ht="12.75" hidden="1">
      <c r="A325" s="218">
        <v>852</v>
      </c>
      <c r="B325" s="187"/>
      <c r="C325" s="188" t="s">
        <v>88</v>
      </c>
      <c r="D325" s="189">
        <f>SUM(D326,D328,D330,D340,D342,D344,D346,D348,D369)</f>
        <v>1291667.5</v>
      </c>
      <c r="E325" s="189">
        <f aca="true" t="shared" si="336" ref="E325:AQ325">SUM(E326,E328,E330,E340,E342,E344,E346,E348,E369)</f>
        <v>0</v>
      </c>
      <c r="F325" s="189">
        <f t="shared" si="336"/>
        <v>1291667.5</v>
      </c>
      <c r="G325" s="189">
        <f t="shared" si="336"/>
        <v>35100</v>
      </c>
      <c r="H325" s="189">
        <f t="shared" si="336"/>
        <v>1326767.5</v>
      </c>
      <c r="I325" s="189">
        <f t="shared" si="336"/>
        <v>0</v>
      </c>
      <c r="J325" s="189">
        <f t="shared" si="336"/>
        <v>1326767.5</v>
      </c>
      <c r="K325" s="189">
        <f t="shared" si="336"/>
        <v>0</v>
      </c>
      <c r="L325" s="189">
        <f t="shared" si="336"/>
        <v>1326767.5</v>
      </c>
      <c r="M325" s="189">
        <f t="shared" si="336"/>
        <v>0</v>
      </c>
      <c r="N325" s="189">
        <f t="shared" si="336"/>
        <v>1326767.5</v>
      </c>
      <c r="O325" s="189">
        <f t="shared" si="336"/>
        <v>0</v>
      </c>
      <c r="P325" s="189">
        <f t="shared" si="336"/>
        <v>1326767.5</v>
      </c>
      <c r="Q325" s="189">
        <f t="shared" si="336"/>
        <v>0</v>
      </c>
      <c r="R325" s="189">
        <f t="shared" si="336"/>
        <v>1326767.5</v>
      </c>
      <c r="S325" s="189">
        <f t="shared" si="336"/>
        <v>4350</v>
      </c>
      <c r="T325" s="189">
        <f t="shared" si="336"/>
        <v>1331117.5</v>
      </c>
      <c r="U325" s="189">
        <f t="shared" si="336"/>
        <v>14033</v>
      </c>
      <c r="V325" s="189">
        <f t="shared" si="336"/>
        <v>1345150.5</v>
      </c>
      <c r="W325" s="189">
        <f t="shared" si="336"/>
        <v>0</v>
      </c>
      <c r="X325" s="189">
        <f t="shared" si="336"/>
        <v>1345150.5</v>
      </c>
      <c r="Y325" s="189">
        <f t="shared" si="336"/>
        <v>0</v>
      </c>
      <c r="Z325" s="189">
        <f t="shared" si="336"/>
        <v>1345150.5</v>
      </c>
      <c r="AA325" s="189">
        <f t="shared" si="336"/>
        <v>13000</v>
      </c>
      <c r="AB325" s="189">
        <f t="shared" si="336"/>
        <v>1358150.5</v>
      </c>
      <c r="AC325" s="189">
        <f t="shared" si="336"/>
        <v>0</v>
      </c>
      <c r="AD325" s="189">
        <f t="shared" si="336"/>
        <v>1358150.5</v>
      </c>
      <c r="AE325" s="189">
        <f t="shared" si="336"/>
        <v>20519</v>
      </c>
      <c r="AF325" s="189">
        <f t="shared" si="336"/>
        <v>1378669.5</v>
      </c>
      <c r="AG325" s="189">
        <f t="shared" si="336"/>
        <v>0</v>
      </c>
      <c r="AH325" s="189">
        <f t="shared" si="336"/>
        <v>1378669.5</v>
      </c>
      <c r="AI325" s="189">
        <f t="shared" si="336"/>
        <v>0</v>
      </c>
      <c r="AJ325" s="189">
        <f t="shared" si="336"/>
        <v>1378669.5</v>
      </c>
      <c r="AK325" s="189">
        <f t="shared" si="336"/>
        <v>122208</v>
      </c>
      <c r="AL325" s="189">
        <f t="shared" si="336"/>
        <v>1500877.5</v>
      </c>
      <c r="AM325" s="189">
        <f t="shared" si="336"/>
        <v>23045</v>
      </c>
      <c r="AN325" s="189">
        <f t="shared" si="336"/>
        <v>1523922.5</v>
      </c>
      <c r="AO325" s="189">
        <f t="shared" si="336"/>
        <v>1081336</v>
      </c>
      <c r="AP325" s="221">
        <f t="shared" si="336"/>
        <v>990840</v>
      </c>
      <c r="AQ325" s="249">
        <f t="shared" si="336"/>
        <v>1454920</v>
      </c>
      <c r="AR325" s="276"/>
      <c r="AS325" s="244">
        <f t="shared" si="288"/>
        <v>1454920</v>
      </c>
      <c r="AT325" s="103">
        <f>AQ325-AN325</f>
        <v>-69002.5</v>
      </c>
      <c r="AU325" s="159">
        <f t="shared" si="309"/>
        <v>1.1012777037665011</v>
      </c>
      <c r="AV325" s="103"/>
      <c r="AX325" s="15"/>
      <c r="BC325" t="s">
        <v>173</v>
      </c>
    </row>
    <row r="326" spans="1:48" ht="12.75" hidden="1">
      <c r="A326" s="31">
        <v>85202</v>
      </c>
      <c r="B326" s="26"/>
      <c r="C326" s="19" t="s">
        <v>89</v>
      </c>
      <c r="D326" s="190">
        <f aca="true" t="shared" si="337" ref="D326:J328">SUM(D327)</f>
        <v>130000</v>
      </c>
      <c r="E326" s="190">
        <f t="shared" si="337"/>
        <v>0</v>
      </c>
      <c r="F326" s="190">
        <f t="shared" si="337"/>
        <v>130000</v>
      </c>
      <c r="G326" s="190">
        <f t="shared" si="337"/>
        <v>0</v>
      </c>
      <c r="H326" s="190">
        <f t="shared" si="337"/>
        <v>130000</v>
      </c>
      <c r="I326" s="190">
        <f t="shared" si="337"/>
        <v>0</v>
      </c>
      <c r="J326" s="190">
        <f t="shared" si="337"/>
        <v>130000</v>
      </c>
      <c r="K326" s="110"/>
      <c r="L326" s="190">
        <f>SUM(L327)</f>
        <v>130000</v>
      </c>
      <c r="M326" s="109"/>
      <c r="N326" s="190">
        <f>SUM(N327)</f>
        <v>130000</v>
      </c>
      <c r="O326" s="190"/>
      <c r="P326" s="190">
        <f>SUM(P327)</f>
        <v>130000</v>
      </c>
      <c r="Q326" s="109"/>
      <c r="R326" s="190">
        <f>SUM(R327)</f>
        <v>130000</v>
      </c>
      <c r="S326" s="109"/>
      <c r="T326" s="190">
        <f>SUM(T327)</f>
        <v>130000</v>
      </c>
      <c r="U326" s="109"/>
      <c r="V326" s="190">
        <f>SUM(V327)</f>
        <v>130000</v>
      </c>
      <c r="W326" s="109"/>
      <c r="X326" s="190">
        <f>SUM(X327)</f>
        <v>130000</v>
      </c>
      <c r="Y326" s="109"/>
      <c r="Z326" s="190">
        <f>SUM(Z327)</f>
        <v>130000</v>
      </c>
      <c r="AA326" s="109"/>
      <c r="AB326" s="190">
        <f>SUM(AB327)</f>
        <v>130000</v>
      </c>
      <c r="AC326" s="109"/>
      <c r="AD326" s="190">
        <f>SUM(AD327)</f>
        <v>130000</v>
      </c>
      <c r="AE326" s="109"/>
      <c r="AF326" s="190">
        <f>SUM(AF327)</f>
        <v>130000</v>
      </c>
      <c r="AG326" s="147"/>
      <c r="AH326" s="190">
        <f>SUM(AH327)</f>
        <v>130000</v>
      </c>
      <c r="AI326" s="109"/>
      <c r="AJ326" s="190">
        <f>SUM(AJ327)</f>
        <v>130000</v>
      </c>
      <c r="AK326" s="109"/>
      <c r="AL326" s="190">
        <f>SUM(AL327)</f>
        <v>130000</v>
      </c>
      <c r="AM326" s="109"/>
      <c r="AN326" s="190">
        <f>SUM(AN327)</f>
        <v>130000</v>
      </c>
      <c r="AO326" s="190">
        <f>SUM(AO327)</f>
        <v>101230</v>
      </c>
      <c r="AP326" s="81">
        <f>SUM(AP327)</f>
        <v>89070</v>
      </c>
      <c r="AQ326" s="247">
        <f>SUM(AQ327)</f>
        <v>140000</v>
      </c>
      <c r="AR326" s="274"/>
      <c r="AS326" s="244">
        <f t="shared" si="288"/>
        <v>140000</v>
      </c>
      <c r="AT326" s="103"/>
      <c r="AU326" s="103"/>
      <c r="AV326" s="103"/>
    </row>
    <row r="327" spans="1:48" ht="25.5" hidden="1">
      <c r="A327" s="31"/>
      <c r="B327" s="27">
        <v>4330</v>
      </c>
      <c r="C327" s="18" t="s">
        <v>122</v>
      </c>
      <c r="D327" s="104">
        <v>130000</v>
      </c>
      <c r="E327" s="206"/>
      <c r="F327" s="106">
        <f t="shared" si="310"/>
        <v>130000</v>
      </c>
      <c r="G327" s="109"/>
      <c r="H327" s="106">
        <f t="shared" si="311"/>
        <v>130000</v>
      </c>
      <c r="I327" s="109"/>
      <c r="J327" s="106">
        <f>I327+H327</f>
        <v>130000</v>
      </c>
      <c r="K327" s="110"/>
      <c r="L327" s="106">
        <f>K327+H327</f>
        <v>130000</v>
      </c>
      <c r="M327" s="109"/>
      <c r="N327" s="106">
        <f>M327+L327</f>
        <v>130000</v>
      </c>
      <c r="O327" s="106"/>
      <c r="P327" s="106">
        <f>O327+N327</f>
        <v>130000</v>
      </c>
      <c r="Q327" s="109"/>
      <c r="R327" s="106">
        <f>Q327+P327</f>
        <v>130000</v>
      </c>
      <c r="S327" s="109"/>
      <c r="T327" s="106">
        <f>S327+R327</f>
        <v>130000</v>
      </c>
      <c r="U327" s="109"/>
      <c r="V327" s="106">
        <f>U327+T327</f>
        <v>130000</v>
      </c>
      <c r="W327" s="109"/>
      <c r="X327" s="106">
        <f>W327+V327</f>
        <v>130000</v>
      </c>
      <c r="Y327" s="109"/>
      <c r="Z327" s="106">
        <f>Y327+X327</f>
        <v>130000</v>
      </c>
      <c r="AA327" s="109"/>
      <c r="AB327" s="106">
        <f>AA327+Z327</f>
        <v>130000</v>
      </c>
      <c r="AC327" s="109"/>
      <c r="AD327" s="106">
        <f>AC327+AB327</f>
        <v>130000</v>
      </c>
      <c r="AE327" s="109"/>
      <c r="AF327" s="106">
        <f>AE327+AD327</f>
        <v>130000</v>
      </c>
      <c r="AG327" s="147"/>
      <c r="AH327" s="106">
        <f>AG327+AF327</f>
        <v>130000</v>
      </c>
      <c r="AI327" s="109"/>
      <c r="AJ327" s="106">
        <f>AI327+AH327</f>
        <v>130000</v>
      </c>
      <c r="AK327" s="109"/>
      <c r="AL327" s="106">
        <f>AK327+AJ327</f>
        <v>130000</v>
      </c>
      <c r="AM327" s="109"/>
      <c r="AN327" s="106">
        <f>AM327+AL327</f>
        <v>130000</v>
      </c>
      <c r="AO327" s="106">
        <v>101230</v>
      </c>
      <c r="AP327" s="113">
        <v>89070</v>
      </c>
      <c r="AQ327" s="243">
        <v>140000</v>
      </c>
      <c r="AR327" s="275"/>
      <c r="AS327" s="244">
        <f t="shared" si="288"/>
        <v>140000</v>
      </c>
      <c r="AT327" s="103"/>
      <c r="AU327" s="103"/>
      <c r="AV327" s="103"/>
    </row>
    <row r="328" spans="1:48" ht="12.75" hidden="1">
      <c r="A328" s="31">
        <v>85205</v>
      </c>
      <c r="B328" s="26"/>
      <c r="C328" s="207" t="s">
        <v>200</v>
      </c>
      <c r="D328" s="190">
        <f t="shared" si="337"/>
        <v>0</v>
      </c>
      <c r="E328" s="190">
        <f t="shared" si="337"/>
        <v>0</v>
      </c>
      <c r="F328" s="190">
        <f t="shared" si="337"/>
        <v>0</v>
      </c>
      <c r="G328" s="190">
        <f t="shared" si="337"/>
        <v>0</v>
      </c>
      <c r="H328" s="190">
        <f t="shared" si="337"/>
        <v>0</v>
      </c>
      <c r="I328" s="190">
        <f t="shared" si="337"/>
        <v>0</v>
      </c>
      <c r="J328" s="190">
        <f t="shared" si="337"/>
        <v>0</v>
      </c>
      <c r="K328" s="110"/>
      <c r="L328" s="190">
        <f>SUM(L329)</f>
        <v>0</v>
      </c>
      <c r="M328" s="109"/>
      <c r="N328" s="190">
        <f>SUM(N329)</f>
        <v>0</v>
      </c>
      <c r="O328" s="190"/>
      <c r="P328" s="190">
        <f>SUM(P329)</f>
        <v>0</v>
      </c>
      <c r="Q328" s="109"/>
      <c r="R328" s="190">
        <f>SUM(R329)</f>
        <v>0</v>
      </c>
      <c r="S328" s="109"/>
      <c r="T328" s="190">
        <f>SUM(T329)</f>
        <v>0</v>
      </c>
      <c r="U328" s="109"/>
      <c r="V328" s="190">
        <f>SUM(V329)</f>
        <v>0</v>
      </c>
      <c r="W328" s="109"/>
      <c r="X328" s="190">
        <f>SUM(X329)</f>
        <v>0</v>
      </c>
      <c r="Y328" s="109"/>
      <c r="Z328" s="190">
        <f>SUM(Z329)</f>
        <v>0</v>
      </c>
      <c r="AA328" s="109"/>
      <c r="AB328" s="190">
        <f>SUM(AB329)</f>
        <v>0</v>
      </c>
      <c r="AC328" s="109"/>
      <c r="AD328" s="190">
        <f>SUM(AD329)</f>
        <v>0</v>
      </c>
      <c r="AE328" s="109"/>
      <c r="AF328" s="190">
        <f>SUM(AF329)</f>
        <v>0</v>
      </c>
      <c r="AG328" s="147"/>
      <c r="AH328" s="190">
        <f>SUM(AH329)</f>
        <v>0</v>
      </c>
      <c r="AI328" s="109"/>
      <c r="AJ328" s="190">
        <f>SUM(AJ329)</f>
        <v>0</v>
      </c>
      <c r="AK328" s="109"/>
      <c r="AL328" s="190">
        <f>SUM(AL329)</f>
        <v>0</v>
      </c>
      <c r="AM328" s="109"/>
      <c r="AN328" s="190">
        <f>SUM(AN329)</f>
        <v>0</v>
      </c>
      <c r="AO328" s="190">
        <f>SUM(AO329)</f>
        <v>0</v>
      </c>
      <c r="AP328" s="81">
        <f>SUM(AP329)</f>
        <v>0</v>
      </c>
      <c r="AQ328" s="247">
        <f>SUM(AQ329)</f>
        <v>0</v>
      </c>
      <c r="AR328" s="274"/>
      <c r="AS328" s="244">
        <f t="shared" si="288"/>
        <v>0</v>
      </c>
      <c r="AT328" s="103"/>
      <c r="AU328" s="103"/>
      <c r="AV328" s="103"/>
    </row>
    <row r="329" spans="1:48" ht="34.5" customHeight="1" hidden="1">
      <c r="A329" s="31"/>
      <c r="B329" s="165">
        <v>2710</v>
      </c>
      <c r="C329" s="162" t="s">
        <v>22</v>
      </c>
      <c r="D329" s="104"/>
      <c r="E329" s="206"/>
      <c r="F329" s="106"/>
      <c r="G329" s="109"/>
      <c r="H329" s="106"/>
      <c r="I329" s="109"/>
      <c r="J329" s="106"/>
      <c r="K329" s="110"/>
      <c r="L329" s="106"/>
      <c r="M329" s="109"/>
      <c r="N329" s="106"/>
      <c r="O329" s="106"/>
      <c r="P329" s="106"/>
      <c r="Q329" s="109"/>
      <c r="R329" s="106"/>
      <c r="S329" s="109"/>
      <c r="T329" s="106"/>
      <c r="U329" s="109"/>
      <c r="V329" s="106"/>
      <c r="W329" s="109"/>
      <c r="X329" s="106"/>
      <c r="Y329" s="109"/>
      <c r="Z329" s="106"/>
      <c r="AA329" s="109"/>
      <c r="AB329" s="106"/>
      <c r="AC329" s="109"/>
      <c r="AD329" s="106"/>
      <c r="AE329" s="109"/>
      <c r="AF329" s="106"/>
      <c r="AG329" s="147"/>
      <c r="AH329" s="106"/>
      <c r="AI329" s="109"/>
      <c r="AJ329" s="106"/>
      <c r="AK329" s="109"/>
      <c r="AL329" s="106"/>
      <c r="AM329" s="109"/>
      <c r="AN329" s="106"/>
      <c r="AO329" s="106"/>
      <c r="AP329" s="113"/>
      <c r="AQ329" s="243">
        <v>0</v>
      </c>
      <c r="AR329" s="275"/>
      <c r="AS329" s="244">
        <f t="shared" si="288"/>
        <v>0</v>
      </c>
      <c r="AT329" s="103"/>
      <c r="AU329" s="103"/>
      <c r="AV329" s="103"/>
    </row>
    <row r="330" spans="1:48" ht="25.5" hidden="1">
      <c r="A330" s="31">
        <v>85212</v>
      </c>
      <c r="B330" s="26"/>
      <c r="C330" s="19" t="s">
        <v>116</v>
      </c>
      <c r="D330" s="104"/>
      <c r="E330" s="206"/>
      <c r="F330" s="106"/>
      <c r="G330" s="109"/>
      <c r="H330" s="106"/>
      <c r="I330" s="109"/>
      <c r="J330" s="106"/>
      <c r="K330" s="110"/>
      <c r="L330" s="106"/>
      <c r="M330" s="109"/>
      <c r="N330" s="106"/>
      <c r="O330" s="106"/>
      <c r="P330" s="106"/>
      <c r="Q330" s="109"/>
      <c r="R330" s="106"/>
      <c r="S330" s="109"/>
      <c r="T330" s="106"/>
      <c r="U330" s="109"/>
      <c r="V330" s="106"/>
      <c r="W330" s="109"/>
      <c r="X330" s="106"/>
      <c r="Y330" s="109"/>
      <c r="Z330" s="106"/>
      <c r="AA330" s="109"/>
      <c r="AB330" s="106"/>
      <c r="AC330" s="109"/>
      <c r="AD330" s="106"/>
      <c r="AE330" s="109"/>
      <c r="AF330" s="106"/>
      <c r="AG330" s="147"/>
      <c r="AH330" s="106"/>
      <c r="AI330" s="109"/>
      <c r="AJ330" s="106"/>
      <c r="AK330" s="109"/>
      <c r="AL330" s="106"/>
      <c r="AM330" s="208">
        <f>SUM(AM331:AM339)</f>
        <v>47708</v>
      </c>
      <c r="AN330" s="208">
        <f>SUM(AN331:AN339)</f>
        <v>47708</v>
      </c>
      <c r="AO330" s="208">
        <f>SUM(AO331:AO339)</f>
        <v>0</v>
      </c>
      <c r="AP330" s="223">
        <f>SUM(AP331:AP339)</f>
        <v>47708</v>
      </c>
      <c r="AQ330" s="252">
        <f>SUM(AQ331:AQ339)</f>
        <v>50000</v>
      </c>
      <c r="AR330" s="280"/>
      <c r="AS330" s="244">
        <f t="shared" si="288"/>
        <v>50000</v>
      </c>
      <c r="AT330" s="103"/>
      <c r="AU330" s="103"/>
      <c r="AV330" s="103"/>
    </row>
    <row r="331" spans="1:48" ht="12.75" hidden="1">
      <c r="A331" s="21"/>
      <c r="B331" s="27">
        <v>4010</v>
      </c>
      <c r="C331" s="18" t="s">
        <v>37</v>
      </c>
      <c r="D331" s="104"/>
      <c r="E331" s="206"/>
      <c r="F331" s="106"/>
      <c r="G331" s="109"/>
      <c r="H331" s="106"/>
      <c r="I331" s="109"/>
      <c r="J331" s="106"/>
      <c r="K331" s="110"/>
      <c r="L331" s="106"/>
      <c r="M331" s="109"/>
      <c r="N331" s="106"/>
      <c r="O331" s="106"/>
      <c r="P331" s="106"/>
      <c r="Q331" s="109"/>
      <c r="R331" s="106"/>
      <c r="S331" s="109"/>
      <c r="T331" s="106"/>
      <c r="U331" s="109"/>
      <c r="V331" s="106"/>
      <c r="W331" s="109"/>
      <c r="X331" s="106"/>
      <c r="Y331" s="109"/>
      <c r="Z331" s="106"/>
      <c r="AA331" s="109"/>
      <c r="AB331" s="106"/>
      <c r="AC331" s="109"/>
      <c r="AD331" s="106"/>
      <c r="AE331" s="109"/>
      <c r="AF331" s="106"/>
      <c r="AG331" s="147"/>
      <c r="AH331" s="106"/>
      <c r="AI331" s="109"/>
      <c r="AJ331" s="106"/>
      <c r="AK331" s="109"/>
      <c r="AL331" s="106"/>
      <c r="AM331" s="109">
        <v>23924</v>
      </c>
      <c r="AN331" s="106">
        <f aca="true" t="shared" si="338" ref="AN331:AQ339">AM331+AL331</f>
        <v>23924</v>
      </c>
      <c r="AO331" s="106"/>
      <c r="AP331" s="113">
        <f t="shared" si="338"/>
        <v>23924</v>
      </c>
      <c r="AQ331" s="243">
        <v>24500</v>
      </c>
      <c r="AR331" s="275"/>
      <c r="AS331" s="244">
        <f t="shared" si="288"/>
        <v>24500</v>
      </c>
      <c r="AT331" s="103"/>
      <c r="AU331" s="103"/>
      <c r="AV331" s="103"/>
    </row>
    <row r="332" spans="1:48" ht="12.75" hidden="1">
      <c r="A332" s="21"/>
      <c r="B332" s="27">
        <v>4110</v>
      </c>
      <c r="C332" s="18" t="s">
        <v>39</v>
      </c>
      <c r="D332" s="104"/>
      <c r="E332" s="206"/>
      <c r="F332" s="106"/>
      <c r="G332" s="109"/>
      <c r="H332" s="106"/>
      <c r="I332" s="109"/>
      <c r="J332" s="106"/>
      <c r="K332" s="110"/>
      <c r="L332" s="106"/>
      <c r="M332" s="109"/>
      <c r="N332" s="106"/>
      <c r="O332" s="106"/>
      <c r="P332" s="106"/>
      <c r="Q332" s="109"/>
      <c r="R332" s="106"/>
      <c r="S332" s="109"/>
      <c r="T332" s="106"/>
      <c r="U332" s="109"/>
      <c r="V332" s="106"/>
      <c r="W332" s="109"/>
      <c r="X332" s="106"/>
      <c r="Y332" s="109"/>
      <c r="Z332" s="106"/>
      <c r="AA332" s="109"/>
      <c r="AB332" s="106"/>
      <c r="AC332" s="109"/>
      <c r="AD332" s="106"/>
      <c r="AE332" s="109"/>
      <c r="AF332" s="106"/>
      <c r="AG332" s="147"/>
      <c r="AH332" s="106"/>
      <c r="AI332" s="109"/>
      <c r="AJ332" s="106"/>
      <c r="AK332" s="109"/>
      <c r="AL332" s="106"/>
      <c r="AM332" s="109">
        <v>11782</v>
      </c>
      <c r="AN332" s="106">
        <f t="shared" si="338"/>
        <v>11782</v>
      </c>
      <c r="AO332" s="106"/>
      <c r="AP332" s="113">
        <f t="shared" si="338"/>
        <v>11782</v>
      </c>
      <c r="AQ332" s="243">
        <v>12100</v>
      </c>
      <c r="AR332" s="275"/>
      <c r="AS332" s="244">
        <f t="shared" si="288"/>
        <v>12100</v>
      </c>
      <c r="AT332" s="103"/>
      <c r="AU332" s="103"/>
      <c r="AV332" s="103"/>
    </row>
    <row r="333" spans="1:48" ht="12.75" hidden="1">
      <c r="A333" s="21"/>
      <c r="B333" s="27">
        <v>4120</v>
      </c>
      <c r="C333" s="18" t="s">
        <v>40</v>
      </c>
      <c r="D333" s="104"/>
      <c r="E333" s="206"/>
      <c r="F333" s="106"/>
      <c r="G333" s="109"/>
      <c r="H333" s="106"/>
      <c r="I333" s="109"/>
      <c r="J333" s="106"/>
      <c r="K333" s="110"/>
      <c r="L333" s="106"/>
      <c r="M333" s="109"/>
      <c r="N333" s="106"/>
      <c r="O333" s="106"/>
      <c r="P333" s="106"/>
      <c r="Q333" s="109"/>
      <c r="R333" s="106"/>
      <c r="S333" s="109"/>
      <c r="T333" s="106"/>
      <c r="U333" s="109"/>
      <c r="V333" s="106"/>
      <c r="W333" s="109"/>
      <c r="X333" s="106"/>
      <c r="Y333" s="109"/>
      <c r="Z333" s="106"/>
      <c r="AA333" s="109"/>
      <c r="AB333" s="106"/>
      <c r="AC333" s="109"/>
      <c r="AD333" s="106"/>
      <c r="AE333" s="109"/>
      <c r="AF333" s="106"/>
      <c r="AG333" s="147"/>
      <c r="AH333" s="106"/>
      <c r="AI333" s="109"/>
      <c r="AJ333" s="106"/>
      <c r="AK333" s="109"/>
      <c r="AL333" s="106"/>
      <c r="AM333" s="109">
        <v>671</v>
      </c>
      <c r="AN333" s="106">
        <f t="shared" si="338"/>
        <v>671</v>
      </c>
      <c r="AO333" s="106"/>
      <c r="AP333" s="113">
        <f t="shared" si="338"/>
        <v>671</v>
      </c>
      <c r="AQ333" s="243">
        <v>700</v>
      </c>
      <c r="AR333" s="275"/>
      <c r="AS333" s="244">
        <f t="shared" si="288"/>
        <v>700</v>
      </c>
      <c r="AT333" s="103"/>
      <c r="AU333" s="103"/>
      <c r="AV333" s="103"/>
    </row>
    <row r="334" spans="1:48" ht="12.75" hidden="1">
      <c r="A334" s="21"/>
      <c r="B334" s="27">
        <v>4210</v>
      </c>
      <c r="C334" s="18" t="s">
        <v>14</v>
      </c>
      <c r="D334" s="104"/>
      <c r="E334" s="206"/>
      <c r="F334" s="106"/>
      <c r="G334" s="109"/>
      <c r="H334" s="106"/>
      <c r="I334" s="109"/>
      <c r="J334" s="106"/>
      <c r="K334" s="110"/>
      <c r="L334" s="106"/>
      <c r="M334" s="109"/>
      <c r="N334" s="106"/>
      <c r="O334" s="106"/>
      <c r="P334" s="106"/>
      <c r="Q334" s="109"/>
      <c r="R334" s="106"/>
      <c r="S334" s="109"/>
      <c r="T334" s="106"/>
      <c r="U334" s="109"/>
      <c r="V334" s="106"/>
      <c r="W334" s="109"/>
      <c r="X334" s="106"/>
      <c r="Y334" s="109"/>
      <c r="Z334" s="106"/>
      <c r="AA334" s="109"/>
      <c r="AB334" s="106"/>
      <c r="AC334" s="109"/>
      <c r="AD334" s="106"/>
      <c r="AE334" s="109"/>
      <c r="AF334" s="106"/>
      <c r="AG334" s="147"/>
      <c r="AH334" s="106"/>
      <c r="AI334" s="109"/>
      <c r="AJ334" s="106"/>
      <c r="AK334" s="109"/>
      <c r="AL334" s="106"/>
      <c r="AM334" s="109">
        <v>2000</v>
      </c>
      <c r="AN334" s="106">
        <f t="shared" si="338"/>
        <v>2000</v>
      </c>
      <c r="AO334" s="106"/>
      <c r="AP334" s="113">
        <f t="shared" si="338"/>
        <v>2000</v>
      </c>
      <c r="AQ334" s="243">
        <v>2500</v>
      </c>
      <c r="AR334" s="275"/>
      <c r="AS334" s="244">
        <f t="shared" si="288"/>
        <v>2500</v>
      </c>
      <c r="AT334" s="103"/>
      <c r="AU334" s="103"/>
      <c r="AV334" s="103"/>
    </row>
    <row r="335" spans="1:48" ht="12.75" hidden="1">
      <c r="A335" s="21"/>
      <c r="B335" s="27">
        <v>4300</v>
      </c>
      <c r="C335" s="18" t="s">
        <v>15</v>
      </c>
      <c r="D335" s="104"/>
      <c r="E335" s="206"/>
      <c r="F335" s="106"/>
      <c r="G335" s="109"/>
      <c r="H335" s="106"/>
      <c r="I335" s="109"/>
      <c r="J335" s="106"/>
      <c r="K335" s="110"/>
      <c r="L335" s="106"/>
      <c r="M335" s="109"/>
      <c r="N335" s="106"/>
      <c r="O335" s="106"/>
      <c r="P335" s="106"/>
      <c r="Q335" s="109"/>
      <c r="R335" s="106"/>
      <c r="S335" s="109"/>
      <c r="T335" s="106"/>
      <c r="U335" s="109"/>
      <c r="V335" s="106"/>
      <c r="W335" s="109"/>
      <c r="X335" s="106"/>
      <c r="Y335" s="109"/>
      <c r="Z335" s="106"/>
      <c r="AA335" s="109"/>
      <c r="AB335" s="106"/>
      <c r="AC335" s="109"/>
      <c r="AD335" s="106"/>
      <c r="AE335" s="109"/>
      <c r="AF335" s="106"/>
      <c r="AG335" s="147"/>
      <c r="AH335" s="106"/>
      <c r="AI335" s="109"/>
      <c r="AJ335" s="106"/>
      <c r="AK335" s="109"/>
      <c r="AL335" s="106"/>
      <c r="AM335" s="109">
        <v>5161</v>
      </c>
      <c r="AN335" s="106">
        <f t="shared" si="338"/>
        <v>5161</v>
      </c>
      <c r="AO335" s="106"/>
      <c r="AP335" s="113">
        <f t="shared" si="338"/>
        <v>5161</v>
      </c>
      <c r="AQ335" s="243">
        <v>6000</v>
      </c>
      <c r="AR335" s="275"/>
      <c r="AS335" s="244">
        <f t="shared" si="288"/>
        <v>6000</v>
      </c>
      <c r="AT335" s="103"/>
      <c r="AU335" s="103"/>
      <c r="AV335" s="103"/>
    </row>
    <row r="336" spans="1:48" ht="12.75" hidden="1">
      <c r="A336" s="21"/>
      <c r="B336" s="27">
        <v>4410</v>
      </c>
      <c r="C336" s="18" t="s">
        <v>48</v>
      </c>
      <c r="D336" s="104"/>
      <c r="E336" s="206"/>
      <c r="F336" s="106"/>
      <c r="G336" s="109"/>
      <c r="H336" s="106"/>
      <c r="I336" s="109"/>
      <c r="J336" s="106"/>
      <c r="K336" s="110"/>
      <c r="L336" s="106"/>
      <c r="M336" s="109"/>
      <c r="N336" s="106"/>
      <c r="O336" s="106"/>
      <c r="P336" s="106"/>
      <c r="Q336" s="109"/>
      <c r="R336" s="106"/>
      <c r="S336" s="109"/>
      <c r="T336" s="106"/>
      <c r="U336" s="109"/>
      <c r="V336" s="106"/>
      <c r="W336" s="109"/>
      <c r="X336" s="106"/>
      <c r="Y336" s="109"/>
      <c r="Z336" s="106"/>
      <c r="AA336" s="109"/>
      <c r="AB336" s="106"/>
      <c r="AC336" s="109"/>
      <c r="AD336" s="106"/>
      <c r="AE336" s="109"/>
      <c r="AF336" s="106"/>
      <c r="AG336" s="147"/>
      <c r="AH336" s="106"/>
      <c r="AI336" s="109"/>
      <c r="AJ336" s="106"/>
      <c r="AK336" s="109"/>
      <c r="AL336" s="106"/>
      <c r="AM336" s="109">
        <v>170</v>
      </c>
      <c r="AN336" s="106">
        <f t="shared" si="338"/>
        <v>170</v>
      </c>
      <c r="AO336" s="106"/>
      <c r="AP336" s="113">
        <f t="shared" si="338"/>
        <v>170</v>
      </c>
      <c r="AQ336" s="243">
        <v>200</v>
      </c>
      <c r="AR336" s="275"/>
      <c r="AS336" s="244">
        <f t="shared" si="288"/>
        <v>200</v>
      </c>
      <c r="AT336" s="103"/>
      <c r="AU336" s="103"/>
      <c r="AV336" s="103"/>
    </row>
    <row r="337" spans="1:48" ht="25.5" hidden="1">
      <c r="A337" s="21"/>
      <c r="B337" s="27">
        <v>4700</v>
      </c>
      <c r="C337" s="18" t="s">
        <v>51</v>
      </c>
      <c r="D337" s="104"/>
      <c r="E337" s="206"/>
      <c r="F337" s="106"/>
      <c r="G337" s="109"/>
      <c r="H337" s="106"/>
      <c r="I337" s="109"/>
      <c r="J337" s="106"/>
      <c r="K337" s="110"/>
      <c r="L337" s="106"/>
      <c r="M337" s="109"/>
      <c r="N337" s="106"/>
      <c r="O337" s="106"/>
      <c r="P337" s="106"/>
      <c r="Q337" s="109"/>
      <c r="R337" s="106"/>
      <c r="S337" s="109"/>
      <c r="T337" s="106"/>
      <c r="U337" s="109"/>
      <c r="V337" s="106"/>
      <c r="W337" s="109"/>
      <c r="X337" s="106"/>
      <c r="Y337" s="109"/>
      <c r="Z337" s="106"/>
      <c r="AA337" s="109"/>
      <c r="AB337" s="106"/>
      <c r="AC337" s="109"/>
      <c r="AD337" s="106"/>
      <c r="AE337" s="109"/>
      <c r="AF337" s="106"/>
      <c r="AG337" s="147"/>
      <c r="AH337" s="106"/>
      <c r="AI337" s="109"/>
      <c r="AJ337" s="106"/>
      <c r="AK337" s="109"/>
      <c r="AL337" s="106"/>
      <c r="AM337" s="109">
        <v>900</v>
      </c>
      <c r="AN337" s="106">
        <f t="shared" si="338"/>
        <v>900</v>
      </c>
      <c r="AO337" s="106"/>
      <c r="AP337" s="113">
        <f t="shared" si="338"/>
        <v>900</v>
      </c>
      <c r="AQ337" s="243">
        <f t="shared" si="338"/>
        <v>900</v>
      </c>
      <c r="AR337" s="275"/>
      <c r="AS337" s="244">
        <f t="shared" si="288"/>
        <v>900</v>
      </c>
      <c r="AT337" s="103"/>
      <c r="AU337" s="103"/>
      <c r="AV337" s="103"/>
    </row>
    <row r="338" spans="1:48" ht="25.5" hidden="1">
      <c r="A338" s="31"/>
      <c r="B338" s="27">
        <v>4740</v>
      </c>
      <c r="C338" s="18" t="s">
        <v>52</v>
      </c>
      <c r="D338" s="104"/>
      <c r="E338" s="206"/>
      <c r="F338" s="106"/>
      <c r="G338" s="109"/>
      <c r="H338" s="106"/>
      <c r="I338" s="109"/>
      <c r="J338" s="106"/>
      <c r="K338" s="110"/>
      <c r="L338" s="106"/>
      <c r="M338" s="109"/>
      <c r="N338" s="106"/>
      <c r="O338" s="106"/>
      <c r="P338" s="106"/>
      <c r="Q338" s="109"/>
      <c r="R338" s="106"/>
      <c r="S338" s="109"/>
      <c r="T338" s="106"/>
      <c r="U338" s="109"/>
      <c r="V338" s="106"/>
      <c r="W338" s="109"/>
      <c r="X338" s="106"/>
      <c r="Y338" s="109"/>
      <c r="Z338" s="106"/>
      <c r="AA338" s="109"/>
      <c r="AB338" s="106"/>
      <c r="AC338" s="109"/>
      <c r="AD338" s="106"/>
      <c r="AE338" s="109"/>
      <c r="AF338" s="106"/>
      <c r="AG338" s="147"/>
      <c r="AH338" s="106"/>
      <c r="AI338" s="109"/>
      <c r="AJ338" s="106"/>
      <c r="AK338" s="109"/>
      <c r="AL338" s="106"/>
      <c r="AM338" s="109">
        <v>100</v>
      </c>
      <c r="AN338" s="106">
        <f t="shared" si="338"/>
        <v>100</v>
      </c>
      <c r="AO338" s="106"/>
      <c r="AP338" s="113">
        <f t="shared" si="338"/>
        <v>100</v>
      </c>
      <c r="AQ338" s="243">
        <f t="shared" si="338"/>
        <v>100</v>
      </c>
      <c r="AR338" s="275"/>
      <c r="AS338" s="244">
        <f t="shared" si="288"/>
        <v>100</v>
      </c>
      <c r="AT338" s="103"/>
      <c r="AU338" s="103"/>
      <c r="AV338" s="103"/>
    </row>
    <row r="339" spans="1:48" ht="12.75" hidden="1">
      <c r="A339" s="31"/>
      <c r="B339" s="27">
        <v>4750</v>
      </c>
      <c r="C339" s="18" t="s">
        <v>53</v>
      </c>
      <c r="D339" s="104"/>
      <c r="E339" s="206"/>
      <c r="F339" s="106"/>
      <c r="G339" s="109"/>
      <c r="H339" s="106"/>
      <c r="I339" s="109"/>
      <c r="J339" s="106"/>
      <c r="K339" s="110"/>
      <c r="L339" s="106"/>
      <c r="M339" s="109"/>
      <c r="N339" s="106"/>
      <c r="O339" s="106"/>
      <c r="P339" s="106"/>
      <c r="Q339" s="109"/>
      <c r="R339" s="106"/>
      <c r="S339" s="109"/>
      <c r="T339" s="106"/>
      <c r="U339" s="109"/>
      <c r="V339" s="106"/>
      <c r="W339" s="109"/>
      <c r="X339" s="106"/>
      <c r="Y339" s="109"/>
      <c r="Z339" s="106"/>
      <c r="AA339" s="109"/>
      <c r="AB339" s="106"/>
      <c r="AC339" s="109"/>
      <c r="AD339" s="106"/>
      <c r="AE339" s="109"/>
      <c r="AF339" s="106"/>
      <c r="AG339" s="147"/>
      <c r="AH339" s="106"/>
      <c r="AI339" s="109"/>
      <c r="AJ339" s="106"/>
      <c r="AK339" s="109"/>
      <c r="AL339" s="106"/>
      <c r="AM339" s="109">
        <v>3000</v>
      </c>
      <c r="AN339" s="106">
        <f t="shared" si="338"/>
        <v>3000</v>
      </c>
      <c r="AO339" s="106"/>
      <c r="AP339" s="113">
        <f t="shared" si="338"/>
        <v>3000</v>
      </c>
      <c r="AQ339" s="243">
        <f t="shared" si="338"/>
        <v>3000</v>
      </c>
      <c r="AR339" s="275"/>
      <c r="AS339" s="244">
        <f t="shared" si="288"/>
        <v>3000</v>
      </c>
      <c r="AT339" s="103"/>
      <c r="AU339" s="103"/>
      <c r="AV339" s="103"/>
    </row>
    <row r="340" spans="1:48" ht="38.25" hidden="1">
      <c r="A340" s="31">
        <v>85213</v>
      </c>
      <c r="B340" s="26"/>
      <c r="C340" s="19" t="s">
        <v>117</v>
      </c>
      <c r="D340" s="104"/>
      <c r="E340" s="206"/>
      <c r="F340" s="106"/>
      <c r="G340" s="109"/>
      <c r="H340" s="106"/>
      <c r="I340" s="109"/>
      <c r="J340" s="106"/>
      <c r="K340" s="110"/>
      <c r="L340" s="106"/>
      <c r="M340" s="109"/>
      <c r="N340" s="106"/>
      <c r="O340" s="106"/>
      <c r="P340" s="106"/>
      <c r="Q340" s="109"/>
      <c r="R340" s="106"/>
      <c r="S340" s="109"/>
      <c r="T340" s="106"/>
      <c r="U340" s="109"/>
      <c r="V340" s="106"/>
      <c r="W340" s="109"/>
      <c r="X340" s="106"/>
      <c r="Y340" s="109"/>
      <c r="Z340" s="106"/>
      <c r="AA340" s="109"/>
      <c r="AB340" s="106"/>
      <c r="AC340" s="109"/>
      <c r="AD340" s="106"/>
      <c r="AE340" s="109"/>
      <c r="AF340" s="106"/>
      <c r="AG340" s="147"/>
      <c r="AH340" s="106"/>
      <c r="AI340" s="190">
        <f aca="true" t="shared" si="339" ref="AI340:AQ340">SUM(AI341:AI341)</f>
        <v>0</v>
      </c>
      <c r="AJ340" s="190">
        <f t="shared" si="339"/>
        <v>0</v>
      </c>
      <c r="AK340" s="190">
        <f t="shared" si="339"/>
        <v>14273</v>
      </c>
      <c r="AL340" s="190">
        <f t="shared" si="339"/>
        <v>14273</v>
      </c>
      <c r="AM340" s="190">
        <f t="shared" si="339"/>
        <v>0</v>
      </c>
      <c r="AN340" s="190">
        <f t="shared" si="339"/>
        <v>14273</v>
      </c>
      <c r="AO340" s="190">
        <f t="shared" si="339"/>
        <v>0</v>
      </c>
      <c r="AP340" s="81">
        <f t="shared" si="339"/>
        <v>1276</v>
      </c>
      <c r="AQ340" s="247">
        <f t="shared" si="339"/>
        <v>15478</v>
      </c>
      <c r="AR340" s="274"/>
      <c r="AS340" s="244">
        <f t="shared" si="288"/>
        <v>15478</v>
      </c>
      <c r="AT340" s="103"/>
      <c r="AU340" s="103"/>
      <c r="AV340" s="103"/>
    </row>
    <row r="341" spans="1:48" ht="12.75" hidden="1">
      <c r="A341" s="21"/>
      <c r="B341" s="27">
        <v>4130</v>
      </c>
      <c r="C341" s="18" t="s">
        <v>118</v>
      </c>
      <c r="D341" s="104"/>
      <c r="E341" s="206"/>
      <c r="F341" s="106"/>
      <c r="G341" s="109"/>
      <c r="H341" s="106"/>
      <c r="I341" s="109"/>
      <c r="J341" s="106"/>
      <c r="K341" s="110"/>
      <c r="L341" s="106"/>
      <c r="M341" s="109"/>
      <c r="N341" s="106"/>
      <c r="O341" s="106"/>
      <c r="P341" s="106"/>
      <c r="Q341" s="109"/>
      <c r="R341" s="106"/>
      <c r="S341" s="109"/>
      <c r="T341" s="106"/>
      <c r="U341" s="109"/>
      <c r="V341" s="106"/>
      <c r="W341" s="109"/>
      <c r="X341" s="106"/>
      <c r="Y341" s="109"/>
      <c r="Z341" s="106"/>
      <c r="AA341" s="109"/>
      <c r="AB341" s="106"/>
      <c r="AC341" s="109"/>
      <c r="AD341" s="106"/>
      <c r="AE341" s="109"/>
      <c r="AF341" s="106"/>
      <c r="AG341" s="147"/>
      <c r="AH341" s="106"/>
      <c r="AI341" s="109"/>
      <c r="AJ341" s="106">
        <f>AI341+AH341</f>
        <v>0</v>
      </c>
      <c r="AK341" s="109">
        <v>14273</v>
      </c>
      <c r="AL341" s="106">
        <f>AK341+AJ341</f>
        <v>14273</v>
      </c>
      <c r="AM341" s="109"/>
      <c r="AN341" s="106">
        <f>AM341+AL341</f>
        <v>14273</v>
      </c>
      <c r="AO341" s="106">
        <v>0</v>
      </c>
      <c r="AP341" s="113">
        <v>1276</v>
      </c>
      <c r="AQ341" s="243">
        <v>15478</v>
      </c>
      <c r="AR341" s="275"/>
      <c r="AS341" s="244">
        <f t="shared" si="288"/>
        <v>15478</v>
      </c>
      <c r="AT341" s="103"/>
      <c r="AU341" s="103"/>
      <c r="AV341" s="103"/>
    </row>
    <row r="342" spans="1:48" ht="25.5" hidden="1">
      <c r="A342" s="31">
        <v>85214</v>
      </c>
      <c r="B342" s="26"/>
      <c r="C342" s="19" t="s">
        <v>201</v>
      </c>
      <c r="D342" s="190">
        <f aca="true" t="shared" si="340" ref="D342:J342">SUM(D343:D343)</f>
        <v>310000</v>
      </c>
      <c r="E342" s="190">
        <f t="shared" si="340"/>
        <v>0</v>
      </c>
      <c r="F342" s="190">
        <f t="shared" si="340"/>
        <v>310000</v>
      </c>
      <c r="G342" s="190">
        <f t="shared" si="340"/>
        <v>35100</v>
      </c>
      <c r="H342" s="190">
        <f t="shared" si="340"/>
        <v>345100</v>
      </c>
      <c r="I342" s="190">
        <f t="shared" si="340"/>
        <v>0</v>
      </c>
      <c r="J342" s="190">
        <f t="shared" si="340"/>
        <v>345100</v>
      </c>
      <c r="K342" s="110"/>
      <c r="L342" s="190">
        <f>SUM(L343:L343)</f>
        <v>345100</v>
      </c>
      <c r="M342" s="109"/>
      <c r="N342" s="190">
        <f>SUM(N343:N343)</f>
        <v>345100</v>
      </c>
      <c r="O342" s="190"/>
      <c r="P342" s="190">
        <f>SUM(P343:P343)</f>
        <v>345100</v>
      </c>
      <c r="Q342" s="109"/>
      <c r="R342" s="190">
        <f>SUM(R343:R343)</f>
        <v>345100</v>
      </c>
      <c r="S342" s="109"/>
      <c r="T342" s="190">
        <f>SUM(T343:T343)</f>
        <v>345100</v>
      </c>
      <c r="U342" s="109"/>
      <c r="V342" s="190">
        <f>SUM(V343:V343)</f>
        <v>345100</v>
      </c>
      <c r="W342" s="109"/>
      <c r="X342" s="190">
        <f>SUM(X343:X343)</f>
        <v>345100</v>
      </c>
      <c r="Y342" s="109"/>
      <c r="Z342" s="190">
        <f>SUM(Z343:Z343)</f>
        <v>345100</v>
      </c>
      <c r="AA342" s="109"/>
      <c r="AB342" s="190">
        <f>SUM(AB343:AB343)</f>
        <v>345100</v>
      </c>
      <c r="AC342" s="109"/>
      <c r="AD342" s="190">
        <f>SUM(AD343:AD343)</f>
        <v>345100</v>
      </c>
      <c r="AE342" s="109"/>
      <c r="AF342" s="190">
        <f>SUM(AF343:AF343)</f>
        <v>345100</v>
      </c>
      <c r="AG342" s="147"/>
      <c r="AH342" s="190">
        <f aca="true" t="shared" si="341" ref="AH342:AQ342">SUM(AH343:AH343)</f>
        <v>345100</v>
      </c>
      <c r="AI342" s="190">
        <f t="shared" si="341"/>
        <v>0</v>
      </c>
      <c r="AJ342" s="190">
        <f t="shared" si="341"/>
        <v>345100</v>
      </c>
      <c r="AK342" s="190">
        <f t="shared" si="341"/>
        <v>120296</v>
      </c>
      <c r="AL342" s="190">
        <f t="shared" si="341"/>
        <v>465396</v>
      </c>
      <c r="AM342" s="190">
        <f t="shared" si="341"/>
        <v>0</v>
      </c>
      <c r="AN342" s="190">
        <f t="shared" si="341"/>
        <v>465396</v>
      </c>
      <c r="AO342" s="190">
        <f t="shared" si="341"/>
        <v>200449</v>
      </c>
      <c r="AP342" s="81">
        <f t="shared" si="341"/>
        <v>180693</v>
      </c>
      <c r="AQ342" s="247">
        <f t="shared" si="341"/>
        <v>217759</v>
      </c>
      <c r="AR342" s="274"/>
      <c r="AS342" s="244">
        <f t="shared" si="288"/>
        <v>217759</v>
      </c>
      <c r="AT342" s="103"/>
      <c r="AU342" s="103"/>
      <c r="AV342" s="103"/>
    </row>
    <row r="343" spans="1:48" ht="12.75" hidden="1">
      <c r="A343" s="21"/>
      <c r="B343" s="27">
        <v>3110</v>
      </c>
      <c r="C343" s="18" t="s">
        <v>91</v>
      </c>
      <c r="D343" s="104">
        <v>310000</v>
      </c>
      <c r="E343" s="206"/>
      <c r="F343" s="106">
        <f t="shared" si="310"/>
        <v>310000</v>
      </c>
      <c r="G343" s="109">
        <v>35100</v>
      </c>
      <c r="H343" s="106">
        <f t="shared" si="311"/>
        <v>345100</v>
      </c>
      <c r="I343" s="109"/>
      <c r="J343" s="106">
        <f>I343+H343</f>
        <v>345100</v>
      </c>
      <c r="K343" s="110"/>
      <c r="L343" s="106">
        <f>K343+H343</f>
        <v>345100</v>
      </c>
      <c r="M343" s="109"/>
      <c r="N343" s="106">
        <f>M343+L343</f>
        <v>345100</v>
      </c>
      <c r="O343" s="106"/>
      <c r="P343" s="106">
        <f>O343+N343</f>
        <v>345100</v>
      </c>
      <c r="Q343" s="109"/>
      <c r="R343" s="106">
        <f>Q343+P343</f>
        <v>345100</v>
      </c>
      <c r="S343" s="109"/>
      <c r="T343" s="106">
        <f>S343+R343</f>
        <v>345100</v>
      </c>
      <c r="U343" s="109"/>
      <c r="V343" s="106">
        <f>U343+T343</f>
        <v>345100</v>
      </c>
      <c r="W343" s="109"/>
      <c r="X343" s="106">
        <f>W343+V343</f>
        <v>345100</v>
      </c>
      <c r="Y343" s="109"/>
      <c r="Z343" s="106">
        <f>Y343+X343</f>
        <v>345100</v>
      </c>
      <c r="AA343" s="109"/>
      <c r="AB343" s="106">
        <f>AA343+Z343</f>
        <v>345100</v>
      </c>
      <c r="AC343" s="109"/>
      <c r="AD343" s="106">
        <f>AC343+AB343</f>
        <v>345100</v>
      </c>
      <c r="AE343" s="109"/>
      <c r="AF343" s="106">
        <f>AE343+AD343</f>
        <v>345100</v>
      </c>
      <c r="AG343" s="147"/>
      <c r="AH343" s="106">
        <f>AG343+AF343</f>
        <v>345100</v>
      </c>
      <c r="AI343" s="109"/>
      <c r="AJ343" s="106">
        <f>AI343+AH343</f>
        <v>345100</v>
      </c>
      <c r="AK343" s="109">
        <v>120296</v>
      </c>
      <c r="AL343" s="106">
        <f>AK343+AJ343</f>
        <v>465396</v>
      </c>
      <c r="AM343" s="109"/>
      <c r="AN343" s="106">
        <f>AM343+AL343</f>
        <v>465396</v>
      </c>
      <c r="AO343" s="106">
        <v>200449</v>
      </c>
      <c r="AP343" s="113">
        <v>180693</v>
      </c>
      <c r="AQ343" s="243">
        <f>117759+100000</f>
        <v>217759</v>
      </c>
      <c r="AR343" s="275"/>
      <c r="AS343" s="244">
        <f aca="true" t="shared" si="342" ref="AS343:AS406">AR343+AQ343</f>
        <v>217759</v>
      </c>
      <c r="AT343" s="103"/>
      <c r="AU343" s="103"/>
      <c r="AV343" s="103"/>
    </row>
    <row r="344" spans="1:48" ht="12.75" hidden="1">
      <c r="A344" s="31">
        <v>85215</v>
      </c>
      <c r="B344" s="26"/>
      <c r="C344" s="19" t="s">
        <v>92</v>
      </c>
      <c r="D344" s="190">
        <f aca="true" t="shared" si="343" ref="D344:J346">SUM(D345)</f>
        <v>100000</v>
      </c>
      <c r="E344" s="190">
        <f t="shared" si="343"/>
        <v>0</v>
      </c>
      <c r="F344" s="190">
        <f t="shared" si="343"/>
        <v>100000</v>
      </c>
      <c r="G344" s="190">
        <f t="shared" si="343"/>
        <v>0</v>
      </c>
      <c r="H344" s="190">
        <f t="shared" si="343"/>
        <v>100000</v>
      </c>
      <c r="I344" s="190">
        <f t="shared" si="343"/>
        <v>0</v>
      </c>
      <c r="J344" s="190">
        <f t="shared" si="343"/>
        <v>100000</v>
      </c>
      <c r="K344" s="110"/>
      <c r="L344" s="190">
        <f>SUM(L345)</f>
        <v>100000</v>
      </c>
      <c r="M344" s="109"/>
      <c r="N344" s="190">
        <f>SUM(N345)</f>
        <v>100000</v>
      </c>
      <c r="O344" s="190"/>
      <c r="P344" s="190">
        <f>SUM(P345)</f>
        <v>100000</v>
      </c>
      <c r="Q344" s="109"/>
      <c r="R344" s="190">
        <f>SUM(R345)</f>
        <v>100000</v>
      </c>
      <c r="S344" s="109"/>
      <c r="T344" s="190">
        <f>SUM(T345)</f>
        <v>100000</v>
      </c>
      <c r="U344" s="109"/>
      <c r="V344" s="190">
        <f>SUM(V345)</f>
        <v>100000</v>
      </c>
      <c r="W344" s="109"/>
      <c r="X344" s="190">
        <f>SUM(X345)</f>
        <v>100000</v>
      </c>
      <c r="Y344" s="109"/>
      <c r="Z344" s="190">
        <f>SUM(Z345)</f>
        <v>100000</v>
      </c>
      <c r="AA344" s="109"/>
      <c r="AB344" s="190">
        <f>SUM(AB345)</f>
        <v>100000</v>
      </c>
      <c r="AC344" s="109"/>
      <c r="AD344" s="190">
        <f>SUM(AD345)</f>
        <v>100000</v>
      </c>
      <c r="AE344" s="109"/>
      <c r="AF344" s="190">
        <f>SUM(AF345)</f>
        <v>100000</v>
      </c>
      <c r="AG344" s="147"/>
      <c r="AH344" s="190">
        <f>SUM(AH345)</f>
        <v>100000</v>
      </c>
      <c r="AI344" s="109"/>
      <c r="AJ344" s="190">
        <f>SUM(AJ345)</f>
        <v>100000</v>
      </c>
      <c r="AK344" s="109"/>
      <c r="AL344" s="190">
        <f>SUM(AL345)</f>
        <v>100000</v>
      </c>
      <c r="AM344" s="109"/>
      <c r="AN344" s="190">
        <f>SUM(AN345)</f>
        <v>100000</v>
      </c>
      <c r="AO344" s="190">
        <f>SUM(AO345)</f>
        <v>79666</v>
      </c>
      <c r="AP344" s="81">
        <f>SUM(AP345)</f>
        <v>54914</v>
      </c>
      <c r="AQ344" s="247">
        <f>SUM(AQ345)</f>
        <v>134580</v>
      </c>
      <c r="AR344" s="274"/>
      <c r="AS344" s="244">
        <f t="shared" si="342"/>
        <v>134580</v>
      </c>
      <c r="AT344" s="103"/>
      <c r="AU344" s="103"/>
      <c r="AV344" s="103"/>
    </row>
    <row r="345" spans="1:48" ht="12.75" hidden="1">
      <c r="A345" s="21"/>
      <c r="B345" s="27">
        <v>3110</v>
      </c>
      <c r="C345" s="18" t="s">
        <v>91</v>
      </c>
      <c r="D345" s="104">
        <v>100000</v>
      </c>
      <c r="E345" s="209"/>
      <c r="F345" s="106">
        <f t="shared" si="310"/>
        <v>100000</v>
      </c>
      <c r="G345" s="109"/>
      <c r="H345" s="106">
        <f t="shared" si="311"/>
        <v>100000</v>
      </c>
      <c r="I345" s="109"/>
      <c r="J345" s="106">
        <f>I345+H345</f>
        <v>100000</v>
      </c>
      <c r="K345" s="110"/>
      <c r="L345" s="106">
        <f>K345+H345</f>
        <v>100000</v>
      </c>
      <c r="M345" s="109"/>
      <c r="N345" s="106">
        <f>M345+L345</f>
        <v>100000</v>
      </c>
      <c r="O345" s="106"/>
      <c r="P345" s="106">
        <f>O345+N345</f>
        <v>100000</v>
      </c>
      <c r="Q345" s="109"/>
      <c r="R345" s="106">
        <f>Q345+P345</f>
        <v>100000</v>
      </c>
      <c r="S345" s="109"/>
      <c r="T345" s="106">
        <f>S345+R345</f>
        <v>100000</v>
      </c>
      <c r="U345" s="109"/>
      <c r="V345" s="106">
        <f>U345+T345</f>
        <v>100000</v>
      </c>
      <c r="W345" s="109"/>
      <c r="X345" s="106">
        <f>W345+V345</f>
        <v>100000</v>
      </c>
      <c r="Y345" s="109"/>
      <c r="Z345" s="106">
        <f>Y345+X345</f>
        <v>100000</v>
      </c>
      <c r="AA345" s="109"/>
      <c r="AB345" s="106">
        <f>AA345+Z345</f>
        <v>100000</v>
      </c>
      <c r="AC345" s="109"/>
      <c r="AD345" s="106">
        <f>AC345+AB345</f>
        <v>100000</v>
      </c>
      <c r="AE345" s="109"/>
      <c r="AF345" s="106">
        <f>AE345+AD345</f>
        <v>100000</v>
      </c>
      <c r="AG345" s="147"/>
      <c r="AH345" s="106">
        <f>AG345+AF345</f>
        <v>100000</v>
      </c>
      <c r="AI345" s="109"/>
      <c r="AJ345" s="106">
        <f>AI345+AH345</f>
        <v>100000</v>
      </c>
      <c r="AK345" s="109"/>
      <c r="AL345" s="106">
        <f>AK345+AJ345</f>
        <v>100000</v>
      </c>
      <c r="AM345" s="109"/>
      <c r="AN345" s="106">
        <f>AM345+AL345</f>
        <v>100000</v>
      </c>
      <c r="AO345" s="106">
        <v>79666</v>
      </c>
      <c r="AP345" s="113">
        <v>54914</v>
      </c>
      <c r="AQ345" s="243">
        <f>AP345+AO345</f>
        <v>134580</v>
      </c>
      <c r="AR345" s="275"/>
      <c r="AS345" s="244">
        <f t="shared" si="342"/>
        <v>134580</v>
      </c>
      <c r="AT345" s="103"/>
      <c r="AU345" s="103"/>
      <c r="AV345" s="103"/>
    </row>
    <row r="346" spans="1:48" ht="12.75" hidden="1">
      <c r="A346" s="160">
        <v>85216</v>
      </c>
      <c r="B346" s="161"/>
      <c r="C346" s="19" t="s">
        <v>202</v>
      </c>
      <c r="D346" s="190">
        <f t="shared" si="343"/>
        <v>0</v>
      </c>
      <c r="E346" s="190">
        <f t="shared" si="343"/>
        <v>0</v>
      </c>
      <c r="F346" s="190">
        <f t="shared" si="343"/>
        <v>0</v>
      </c>
      <c r="G346" s="190">
        <f t="shared" si="343"/>
        <v>0</v>
      </c>
      <c r="H346" s="190">
        <f t="shared" si="343"/>
        <v>0</v>
      </c>
      <c r="I346" s="190">
        <f t="shared" si="343"/>
        <v>0</v>
      </c>
      <c r="J346" s="190">
        <f t="shared" si="343"/>
        <v>0</v>
      </c>
      <c r="K346" s="110"/>
      <c r="L346" s="190">
        <f>SUM(L347)</f>
        <v>0</v>
      </c>
      <c r="M346" s="109"/>
      <c r="N346" s="190">
        <f>SUM(N347)</f>
        <v>0</v>
      </c>
      <c r="O346" s="190"/>
      <c r="P346" s="190">
        <f>SUM(P347)</f>
        <v>0</v>
      </c>
      <c r="Q346" s="109"/>
      <c r="R346" s="190">
        <f>SUM(R347)</f>
        <v>0</v>
      </c>
      <c r="S346" s="109"/>
      <c r="T346" s="190">
        <f>SUM(T347)</f>
        <v>0</v>
      </c>
      <c r="U346" s="109"/>
      <c r="V346" s="190">
        <f>SUM(V347)</f>
        <v>0</v>
      </c>
      <c r="W346" s="109"/>
      <c r="X346" s="190">
        <f>SUM(X347)</f>
        <v>0</v>
      </c>
      <c r="Y346" s="109"/>
      <c r="Z346" s="190">
        <f>SUM(Z347)</f>
        <v>0</v>
      </c>
      <c r="AA346" s="109"/>
      <c r="AB346" s="190">
        <f>SUM(AB347)</f>
        <v>0</v>
      </c>
      <c r="AC346" s="109"/>
      <c r="AD346" s="190">
        <f>SUM(AD347)</f>
        <v>0</v>
      </c>
      <c r="AE346" s="109"/>
      <c r="AF346" s="190">
        <f>SUM(AF347)</f>
        <v>0</v>
      </c>
      <c r="AG346" s="147"/>
      <c r="AH346" s="190">
        <f>SUM(AH347)</f>
        <v>0</v>
      </c>
      <c r="AI346" s="109"/>
      <c r="AJ346" s="190">
        <f>SUM(AJ347)</f>
        <v>0</v>
      </c>
      <c r="AK346" s="109"/>
      <c r="AL346" s="190">
        <f>SUM(AL347)</f>
        <v>0</v>
      </c>
      <c r="AM346" s="109"/>
      <c r="AN346" s="190">
        <f>SUM(AN347)</f>
        <v>0</v>
      </c>
      <c r="AO346" s="190">
        <f>SUM(AO347)</f>
        <v>0</v>
      </c>
      <c r="AP346" s="81">
        <f>SUM(AP347)</f>
        <v>178924</v>
      </c>
      <c r="AQ346" s="247">
        <f>SUM(AQ347)</f>
        <v>178924</v>
      </c>
      <c r="AR346" s="274"/>
      <c r="AS346" s="244">
        <f t="shared" si="342"/>
        <v>178924</v>
      </c>
      <c r="AT346" s="103"/>
      <c r="AU346" s="103"/>
      <c r="AV346" s="103"/>
    </row>
    <row r="347" spans="1:48" ht="12.75" hidden="1">
      <c r="A347" s="160"/>
      <c r="B347" s="27">
        <v>3110</v>
      </c>
      <c r="C347" s="18" t="s">
        <v>91</v>
      </c>
      <c r="D347" s="104">
        <v>0</v>
      </c>
      <c r="E347" s="209"/>
      <c r="F347" s="106">
        <f>D347+E347</f>
        <v>0</v>
      </c>
      <c r="G347" s="109"/>
      <c r="H347" s="106">
        <f>G347+F347</f>
        <v>0</v>
      </c>
      <c r="I347" s="109"/>
      <c r="J347" s="106">
        <f>I347+H347</f>
        <v>0</v>
      </c>
      <c r="K347" s="110"/>
      <c r="L347" s="106">
        <f>K347+H347</f>
        <v>0</v>
      </c>
      <c r="M347" s="109"/>
      <c r="N347" s="106">
        <f>M347+L347</f>
        <v>0</v>
      </c>
      <c r="O347" s="106"/>
      <c r="P347" s="106">
        <f>O347+N347</f>
        <v>0</v>
      </c>
      <c r="Q347" s="109"/>
      <c r="R347" s="106">
        <f>Q347+P347</f>
        <v>0</v>
      </c>
      <c r="S347" s="109"/>
      <c r="T347" s="106">
        <f>S347+R347</f>
        <v>0</v>
      </c>
      <c r="U347" s="109"/>
      <c r="V347" s="106">
        <f>U347+T347</f>
        <v>0</v>
      </c>
      <c r="W347" s="109"/>
      <c r="X347" s="106">
        <f>W347+V347</f>
        <v>0</v>
      </c>
      <c r="Y347" s="109"/>
      <c r="Z347" s="106">
        <f>Y347+X347</f>
        <v>0</v>
      </c>
      <c r="AA347" s="109"/>
      <c r="AB347" s="106">
        <f>AA347+Z347</f>
        <v>0</v>
      </c>
      <c r="AC347" s="109"/>
      <c r="AD347" s="106">
        <f>AC347+AB347</f>
        <v>0</v>
      </c>
      <c r="AE347" s="109"/>
      <c r="AF347" s="106">
        <f>AE347+AD347</f>
        <v>0</v>
      </c>
      <c r="AG347" s="147"/>
      <c r="AH347" s="106">
        <f>AG347+AF347</f>
        <v>0</v>
      </c>
      <c r="AI347" s="109"/>
      <c r="AJ347" s="106">
        <f>AI347+AH347</f>
        <v>0</v>
      </c>
      <c r="AK347" s="109"/>
      <c r="AL347" s="106">
        <f>AK347+AJ347</f>
        <v>0</v>
      </c>
      <c r="AM347" s="109"/>
      <c r="AN347" s="106">
        <v>0</v>
      </c>
      <c r="AO347" s="106">
        <v>0</v>
      </c>
      <c r="AP347" s="113">
        <v>178924</v>
      </c>
      <c r="AQ347" s="243">
        <f>AP347+AO347</f>
        <v>178924</v>
      </c>
      <c r="AR347" s="275"/>
      <c r="AS347" s="244">
        <f t="shared" si="342"/>
        <v>178924</v>
      </c>
      <c r="AT347" s="103"/>
      <c r="AU347" s="103"/>
      <c r="AV347" s="103"/>
    </row>
    <row r="348" spans="1:55" ht="12.75" hidden="1">
      <c r="A348" s="31">
        <v>85219</v>
      </c>
      <c r="B348" s="26"/>
      <c r="C348" s="19" t="s">
        <v>93</v>
      </c>
      <c r="D348" s="190">
        <f aca="true" t="shared" si="344" ref="D348:J348">SUM(D349:D368)</f>
        <v>686467.5</v>
      </c>
      <c r="E348" s="190">
        <f t="shared" si="344"/>
        <v>0</v>
      </c>
      <c r="F348" s="190">
        <f t="shared" si="344"/>
        <v>686467.5</v>
      </c>
      <c r="G348" s="190">
        <f t="shared" si="344"/>
        <v>0</v>
      </c>
      <c r="H348" s="190">
        <f t="shared" si="344"/>
        <v>686467.5</v>
      </c>
      <c r="I348" s="190">
        <f t="shared" si="344"/>
        <v>0</v>
      </c>
      <c r="J348" s="190">
        <f t="shared" si="344"/>
        <v>686467.5</v>
      </c>
      <c r="K348" s="110"/>
      <c r="L348" s="190">
        <f>SUM(L349:L368)</f>
        <v>686467.5</v>
      </c>
      <c r="M348" s="109"/>
      <c r="N348" s="190">
        <f>SUM(N349:N368)</f>
        <v>686467.5</v>
      </c>
      <c r="O348" s="190"/>
      <c r="P348" s="190">
        <f>SUM(P349:P368)</f>
        <v>686467.5</v>
      </c>
      <c r="Q348" s="109"/>
      <c r="R348" s="190">
        <f aca="true" t="shared" si="345" ref="R348:X348">SUM(R349:R368)</f>
        <v>686467.5</v>
      </c>
      <c r="S348" s="190">
        <f t="shared" si="345"/>
        <v>4350</v>
      </c>
      <c r="T348" s="190">
        <f t="shared" si="345"/>
        <v>690817.5</v>
      </c>
      <c r="U348" s="190">
        <f t="shared" si="345"/>
        <v>0</v>
      </c>
      <c r="V348" s="190">
        <f t="shared" si="345"/>
        <v>690817.5</v>
      </c>
      <c r="W348" s="190">
        <f t="shared" si="345"/>
        <v>0</v>
      </c>
      <c r="X348" s="190">
        <f t="shared" si="345"/>
        <v>690817.5</v>
      </c>
      <c r="Y348" s="190">
        <f aca="true" t="shared" si="346" ref="Y348:AD348">SUM(Y349:Y368)</f>
        <v>0</v>
      </c>
      <c r="Z348" s="190">
        <f t="shared" si="346"/>
        <v>690817.5</v>
      </c>
      <c r="AA348" s="190">
        <f t="shared" si="346"/>
        <v>0</v>
      </c>
      <c r="AB348" s="190">
        <f t="shared" si="346"/>
        <v>690817.5</v>
      </c>
      <c r="AC348" s="190">
        <f t="shared" si="346"/>
        <v>0</v>
      </c>
      <c r="AD348" s="190">
        <f t="shared" si="346"/>
        <v>690817.5</v>
      </c>
      <c r="AE348" s="190">
        <f aca="true" t="shared" si="347" ref="AE348:AJ348">SUM(AE349:AE368)</f>
        <v>6486</v>
      </c>
      <c r="AF348" s="190">
        <f t="shared" si="347"/>
        <v>697303.5</v>
      </c>
      <c r="AG348" s="191">
        <f t="shared" si="347"/>
        <v>0</v>
      </c>
      <c r="AH348" s="190">
        <f t="shared" si="347"/>
        <v>697303.5</v>
      </c>
      <c r="AI348" s="190">
        <f t="shared" si="347"/>
        <v>0</v>
      </c>
      <c r="AJ348" s="190">
        <f t="shared" si="347"/>
        <v>697303.5</v>
      </c>
      <c r="AK348" s="190">
        <f aca="true" t="shared" si="348" ref="AK348:AQ348">SUM(AK349:AK368)</f>
        <v>-12361</v>
      </c>
      <c r="AL348" s="190">
        <f t="shared" si="348"/>
        <v>684942.5</v>
      </c>
      <c r="AM348" s="190">
        <f t="shared" si="348"/>
        <v>-24663</v>
      </c>
      <c r="AN348" s="190">
        <f t="shared" si="348"/>
        <v>660279.5</v>
      </c>
      <c r="AO348" s="190">
        <f t="shared" si="348"/>
        <v>572031</v>
      </c>
      <c r="AP348" s="81">
        <f t="shared" si="348"/>
        <v>385517</v>
      </c>
      <c r="AQ348" s="247">
        <f t="shared" si="348"/>
        <v>665179</v>
      </c>
      <c r="AR348" s="274"/>
      <c r="AS348" s="244">
        <f t="shared" si="342"/>
        <v>665179</v>
      </c>
      <c r="AT348" s="103"/>
      <c r="AU348" s="103"/>
      <c r="AV348" s="103"/>
      <c r="AX348" t="s">
        <v>175</v>
      </c>
      <c r="BC348" t="s">
        <v>175</v>
      </c>
    </row>
    <row r="349" spans="1:55" ht="12.75" hidden="1">
      <c r="A349" s="21"/>
      <c r="B349" s="27">
        <v>3020</v>
      </c>
      <c r="C349" s="18" t="s">
        <v>73</v>
      </c>
      <c r="D349" s="104">
        <v>24000</v>
      </c>
      <c r="E349" s="106">
        <v>-425</v>
      </c>
      <c r="F349" s="106">
        <f t="shared" si="310"/>
        <v>23575</v>
      </c>
      <c r="G349" s="109">
        <v>-1200</v>
      </c>
      <c r="H349" s="106">
        <f t="shared" si="311"/>
        <v>22375</v>
      </c>
      <c r="I349" s="109"/>
      <c r="J349" s="106">
        <f>I349+H349</f>
        <v>22375</v>
      </c>
      <c r="K349" s="110"/>
      <c r="L349" s="106">
        <f>K349+H349</f>
        <v>22375</v>
      </c>
      <c r="M349" s="109"/>
      <c r="N349" s="106">
        <f>M349+L349</f>
        <v>22375</v>
      </c>
      <c r="O349" s="106">
        <v>-525</v>
      </c>
      <c r="P349" s="106">
        <f>O349+N349</f>
        <v>21850</v>
      </c>
      <c r="Q349" s="109"/>
      <c r="R349" s="106">
        <f>Q349+P349</f>
        <v>21850</v>
      </c>
      <c r="S349" s="109">
        <v>-4000</v>
      </c>
      <c r="T349" s="106">
        <f>S349+R349</f>
        <v>17850</v>
      </c>
      <c r="U349" s="109"/>
      <c r="V349" s="106">
        <f>U349+T349</f>
        <v>17850</v>
      </c>
      <c r="W349" s="109"/>
      <c r="X349" s="106">
        <f>W349+V349</f>
        <v>17850</v>
      </c>
      <c r="Y349" s="109"/>
      <c r="Z349" s="106">
        <f>Y349+X349</f>
        <v>17850</v>
      </c>
      <c r="AA349" s="109"/>
      <c r="AB349" s="106">
        <f>AA349+Z349</f>
        <v>17850</v>
      </c>
      <c r="AC349" s="109"/>
      <c r="AD349" s="106">
        <f>AC349+AB349</f>
        <v>17850</v>
      </c>
      <c r="AE349" s="109"/>
      <c r="AF349" s="106">
        <f>AE349+AD349</f>
        <v>17850</v>
      </c>
      <c r="AG349" s="147"/>
      <c r="AH349" s="106">
        <f>AG349+AF349</f>
        <v>17850</v>
      </c>
      <c r="AI349" s="109"/>
      <c r="AJ349" s="106">
        <f>AI349+AH349</f>
        <v>17850</v>
      </c>
      <c r="AK349" s="109"/>
      <c r="AL349" s="106">
        <f>AK349+AJ349</f>
        <v>17850</v>
      </c>
      <c r="AM349" s="109"/>
      <c r="AN349" s="106">
        <f>AM349+AL349</f>
        <v>17850</v>
      </c>
      <c r="AO349" s="106">
        <v>8616</v>
      </c>
      <c r="AP349" s="113">
        <v>1174</v>
      </c>
      <c r="AQ349" s="243">
        <v>24000</v>
      </c>
      <c r="AR349" s="275"/>
      <c r="AS349" s="244">
        <f t="shared" si="342"/>
        <v>24000</v>
      </c>
      <c r="AT349" s="103"/>
      <c r="AU349" s="103"/>
      <c r="AV349" s="103">
        <f>(AP349/3*4)</f>
        <v>1565.3333333333333</v>
      </c>
      <c r="AX349" t="s">
        <v>151</v>
      </c>
      <c r="BC349" t="s">
        <v>174</v>
      </c>
    </row>
    <row r="350" spans="1:57" ht="12.75" hidden="1">
      <c r="A350" s="21"/>
      <c r="B350" s="27">
        <v>4010</v>
      </c>
      <c r="C350" s="18" t="s">
        <v>37</v>
      </c>
      <c r="D350" s="104">
        <v>450000</v>
      </c>
      <c r="E350" s="206"/>
      <c r="F350" s="106">
        <f t="shared" si="310"/>
        <v>450000</v>
      </c>
      <c r="G350" s="109"/>
      <c r="H350" s="106">
        <f t="shared" si="311"/>
        <v>450000</v>
      </c>
      <c r="I350" s="109"/>
      <c r="J350" s="106">
        <f>I350+H350</f>
        <v>450000</v>
      </c>
      <c r="K350" s="110"/>
      <c r="L350" s="106">
        <f>K350+H350</f>
        <v>450000</v>
      </c>
      <c r="M350" s="109"/>
      <c r="N350" s="106">
        <f>M350+L350</f>
        <v>450000</v>
      </c>
      <c r="O350" s="106"/>
      <c r="P350" s="106">
        <f>O350+N350</f>
        <v>450000</v>
      </c>
      <c r="Q350" s="109"/>
      <c r="R350" s="106">
        <f>Q350+P350</f>
        <v>450000</v>
      </c>
      <c r="S350" s="109">
        <v>3690</v>
      </c>
      <c r="T350" s="106">
        <f>S350+R350</f>
        <v>453690</v>
      </c>
      <c r="U350" s="109"/>
      <c r="V350" s="106">
        <f>U350+T350</f>
        <v>453690</v>
      </c>
      <c r="W350" s="109"/>
      <c r="X350" s="106">
        <f>W350+V350</f>
        <v>453690</v>
      </c>
      <c r="Y350" s="109"/>
      <c r="Z350" s="106">
        <f>Y350+X350</f>
        <v>453690</v>
      </c>
      <c r="AA350" s="109"/>
      <c r="AB350" s="106">
        <f>AA350+Z350</f>
        <v>453690</v>
      </c>
      <c r="AC350" s="109"/>
      <c r="AD350" s="106">
        <f>AC350+AB350</f>
        <v>453690</v>
      </c>
      <c r="AE350" s="109">
        <v>5502</v>
      </c>
      <c r="AF350" s="106">
        <f>AE350+AD350</f>
        <v>459192</v>
      </c>
      <c r="AG350" s="147"/>
      <c r="AH350" s="106">
        <f>AG350+AF350</f>
        <v>459192</v>
      </c>
      <c r="AI350" s="109"/>
      <c r="AJ350" s="106">
        <f>AI350+AH350</f>
        <v>459192</v>
      </c>
      <c r="AK350" s="109"/>
      <c r="AL350" s="106">
        <f>AK350+AJ350</f>
        <v>459192</v>
      </c>
      <c r="AM350" s="109">
        <v>-24663</v>
      </c>
      <c r="AN350" s="106">
        <f>AM350+AL350</f>
        <v>434529</v>
      </c>
      <c r="AO350" s="106">
        <v>364581</v>
      </c>
      <c r="AP350" s="113">
        <v>246266</v>
      </c>
      <c r="AQ350" s="243">
        <f>435000+12000</f>
        <v>447000</v>
      </c>
      <c r="AR350" s="275"/>
      <c r="AS350" s="244">
        <f t="shared" si="342"/>
        <v>447000</v>
      </c>
      <c r="AT350" s="103"/>
      <c r="AU350" s="103"/>
      <c r="AV350" s="103"/>
      <c r="AX350">
        <f>15.44+2.45</f>
        <v>17.89</v>
      </c>
      <c r="AZ350">
        <f>435000/117.89</f>
        <v>3689.8803969802357</v>
      </c>
      <c r="BC350">
        <f>15.44+2.45</f>
        <v>17.89</v>
      </c>
      <c r="BE350">
        <f>648600/117.89</f>
        <v>5501.7389091526</v>
      </c>
    </row>
    <row r="351" spans="1:56" ht="12.75" hidden="1">
      <c r="A351" s="21"/>
      <c r="B351" s="27">
        <v>4040</v>
      </c>
      <c r="C351" s="18" t="s">
        <v>38</v>
      </c>
      <c r="D351" s="104">
        <v>30000</v>
      </c>
      <c r="E351" s="106">
        <v>425</v>
      </c>
      <c r="F351" s="106">
        <f aca="true" t="shared" si="349" ref="F351:H371">D351+E351</f>
        <v>30425</v>
      </c>
      <c r="G351" s="109"/>
      <c r="H351" s="106">
        <f t="shared" si="311"/>
        <v>30425</v>
      </c>
      <c r="I351" s="109"/>
      <c r="J351" s="106">
        <f>I351+H351</f>
        <v>30425</v>
      </c>
      <c r="K351" s="110"/>
      <c r="L351" s="106">
        <f>K351+H351</f>
        <v>30425</v>
      </c>
      <c r="M351" s="109"/>
      <c r="N351" s="106">
        <f>M351+L351</f>
        <v>30425</v>
      </c>
      <c r="O351" s="106"/>
      <c r="P351" s="106">
        <f>O351+N351</f>
        <v>30425</v>
      </c>
      <c r="Q351" s="109"/>
      <c r="R351" s="106">
        <f>Q351+P351</f>
        <v>30425</v>
      </c>
      <c r="S351" s="109"/>
      <c r="T351" s="106">
        <f>S351+R351</f>
        <v>30425</v>
      </c>
      <c r="U351" s="109"/>
      <c r="V351" s="106">
        <f>U351+T351</f>
        <v>30425</v>
      </c>
      <c r="W351" s="109"/>
      <c r="X351" s="106">
        <f>W351+V351</f>
        <v>30425</v>
      </c>
      <c r="Y351" s="109"/>
      <c r="Z351" s="106">
        <f>Y351+X351</f>
        <v>30425</v>
      </c>
      <c r="AA351" s="109"/>
      <c r="AB351" s="106">
        <f>AA351+Z351</f>
        <v>30425</v>
      </c>
      <c r="AC351" s="109"/>
      <c r="AD351" s="106">
        <f>AC351+AB351</f>
        <v>30425</v>
      </c>
      <c r="AE351" s="109"/>
      <c r="AF351" s="106">
        <f>AE351+AD351</f>
        <v>30425</v>
      </c>
      <c r="AG351" s="147"/>
      <c r="AH351" s="106">
        <f>AG351+AF351</f>
        <v>30425</v>
      </c>
      <c r="AI351" s="109"/>
      <c r="AJ351" s="106">
        <f>AI351+AH351</f>
        <v>30425</v>
      </c>
      <c r="AK351" s="109"/>
      <c r="AL351" s="106">
        <f>AK351+AJ351</f>
        <v>30425</v>
      </c>
      <c r="AM351" s="109"/>
      <c r="AN351" s="106">
        <f>AM351+AL351</f>
        <v>30425</v>
      </c>
      <c r="AO351" s="106">
        <v>29980</v>
      </c>
      <c r="AP351" s="113">
        <v>30424</v>
      </c>
      <c r="AQ351" s="243">
        <v>32020</v>
      </c>
      <c r="AR351" s="275"/>
      <c r="AS351" s="244">
        <f t="shared" si="342"/>
        <v>32020</v>
      </c>
      <c r="AT351" s="103"/>
      <c r="AU351" s="103"/>
      <c r="AV351" s="103"/>
      <c r="AX351">
        <f>4350*AX350/100</f>
        <v>778.215</v>
      </c>
      <c r="AY351">
        <v>3690</v>
      </c>
      <c r="BC351">
        <f>6486*BC350/100</f>
        <v>1160.3454000000002</v>
      </c>
      <c r="BD351">
        <v>5502</v>
      </c>
    </row>
    <row r="352" spans="1:55" ht="12.75" hidden="1">
      <c r="A352" s="21"/>
      <c r="B352" s="27">
        <v>4110</v>
      </c>
      <c r="C352" s="18" t="s">
        <v>39</v>
      </c>
      <c r="D352" s="104">
        <f>(D350+D351+D354)*15.44%</f>
        <v>77971.99999999999</v>
      </c>
      <c r="E352" s="206"/>
      <c r="F352" s="106">
        <f t="shared" si="349"/>
        <v>77971.99999999999</v>
      </c>
      <c r="G352" s="109"/>
      <c r="H352" s="106">
        <f t="shared" si="349"/>
        <v>77971.99999999999</v>
      </c>
      <c r="I352" s="109"/>
      <c r="J352" s="106">
        <f aca="true" t="shared" si="350" ref="J352:J363">H352+I352</f>
        <v>77971.99999999999</v>
      </c>
      <c r="K352" s="110"/>
      <c r="L352" s="106">
        <f aca="true" t="shared" si="351" ref="L352:L363">H352+K352</f>
        <v>77971.99999999999</v>
      </c>
      <c r="M352" s="109"/>
      <c r="N352" s="106">
        <f aca="true" t="shared" si="352" ref="N352:R368">L352+M352</f>
        <v>77971.99999999999</v>
      </c>
      <c r="O352" s="106"/>
      <c r="P352" s="106">
        <f t="shared" si="352"/>
        <v>77971.99999999999</v>
      </c>
      <c r="Q352" s="109"/>
      <c r="R352" s="106">
        <f t="shared" si="352"/>
        <v>77971.99999999999</v>
      </c>
      <c r="S352" s="109">
        <v>570</v>
      </c>
      <c r="T352" s="106">
        <f aca="true" t="shared" si="353" ref="T352:T368">R352+S352</f>
        <v>78541.99999999999</v>
      </c>
      <c r="U352" s="109"/>
      <c r="V352" s="106">
        <f aca="true" t="shared" si="354" ref="V352:V368">T352+U352</f>
        <v>78541.99999999999</v>
      </c>
      <c r="W352" s="109"/>
      <c r="X352" s="106">
        <f aca="true" t="shared" si="355" ref="X352:X368">V352+W352</f>
        <v>78541.99999999999</v>
      </c>
      <c r="Y352" s="109"/>
      <c r="Z352" s="106">
        <f aca="true" t="shared" si="356" ref="Z352:Z368">X352+Y352</f>
        <v>78541.99999999999</v>
      </c>
      <c r="AA352" s="109"/>
      <c r="AB352" s="106">
        <f aca="true" t="shared" si="357" ref="AB352:AB368">Z352+AA352</f>
        <v>78541.99999999999</v>
      </c>
      <c r="AC352" s="109"/>
      <c r="AD352" s="106">
        <f aca="true" t="shared" si="358" ref="AD352:AD368">AB352+AC352</f>
        <v>78541.99999999999</v>
      </c>
      <c r="AE352" s="109">
        <v>849</v>
      </c>
      <c r="AF352" s="106">
        <f aca="true" t="shared" si="359" ref="AF352:AF368">AD352+AE352</f>
        <v>79390.99999999999</v>
      </c>
      <c r="AG352" s="147"/>
      <c r="AH352" s="106">
        <f aca="true" t="shared" si="360" ref="AH352:AH368">AF352+AG352</f>
        <v>79390.99999999999</v>
      </c>
      <c r="AI352" s="109"/>
      <c r="AJ352" s="106">
        <f aca="true" t="shared" si="361" ref="AJ352:AJ368">AH352+AI352</f>
        <v>79390.99999999999</v>
      </c>
      <c r="AK352" s="109">
        <v>-12361</v>
      </c>
      <c r="AL352" s="106">
        <f aca="true" t="shared" si="362" ref="AL352:AL368">AJ352+AK352</f>
        <v>67029.99999999999</v>
      </c>
      <c r="AM352" s="109"/>
      <c r="AN352" s="106">
        <f aca="true" t="shared" si="363" ref="AN352:AN368">AL352+AM352</f>
        <v>67029.99999999999</v>
      </c>
      <c r="AO352" s="106">
        <v>63657</v>
      </c>
      <c r="AP352" s="113">
        <v>40990</v>
      </c>
      <c r="AQ352" s="243">
        <v>68000</v>
      </c>
      <c r="AR352" s="275"/>
      <c r="AS352" s="244">
        <f t="shared" si="342"/>
        <v>68000</v>
      </c>
      <c r="AT352" s="103"/>
      <c r="AU352" s="103"/>
      <c r="AV352" s="103"/>
      <c r="AX352" t="s">
        <v>152</v>
      </c>
      <c r="BC352" t="s">
        <v>152</v>
      </c>
    </row>
    <row r="353" spans="1:57" ht="12.75" hidden="1">
      <c r="A353" s="21"/>
      <c r="B353" s="27">
        <v>4120</v>
      </c>
      <c r="C353" s="18" t="s">
        <v>40</v>
      </c>
      <c r="D353" s="104">
        <f>(D350+D351+D354)*2.45%</f>
        <v>12372.5</v>
      </c>
      <c r="E353" s="206"/>
      <c r="F353" s="106">
        <f t="shared" si="349"/>
        <v>12372.5</v>
      </c>
      <c r="G353" s="109"/>
      <c r="H353" s="106">
        <f t="shared" si="349"/>
        <v>12372.5</v>
      </c>
      <c r="I353" s="109"/>
      <c r="J353" s="106">
        <f t="shared" si="350"/>
        <v>12372.5</v>
      </c>
      <c r="K353" s="110"/>
      <c r="L353" s="106">
        <f t="shared" si="351"/>
        <v>12372.5</v>
      </c>
      <c r="M353" s="109"/>
      <c r="N353" s="106">
        <f t="shared" si="352"/>
        <v>12372.5</v>
      </c>
      <c r="O353" s="106"/>
      <c r="P353" s="106">
        <f t="shared" si="352"/>
        <v>12372.5</v>
      </c>
      <c r="Q353" s="109"/>
      <c r="R353" s="106">
        <f t="shared" si="352"/>
        <v>12372.5</v>
      </c>
      <c r="S353" s="109">
        <v>90</v>
      </c>
      <c r="T353" s="106">
        <f t="shared" si="353"/>
        <v>12462.5</v>
      </c>
      <c r="U353" s="109"/>
      <c r="V353" s="106">
        <f t="shared" si="354"/>
        <v>12462.5</v>
      </c>
      <c r="W353" s="109"/>
      <c r="X353" s="106">
        <f t="shared" si="355"/>
        <v>12462.5</v>
      </c>
      <c r="Y353" s="109"/>
      <c r="Z353" s="106">
        <f t="shared" si="356"/>
        <v>12462.5</v>
      </c>
      <c r="AA353" s="109"/>
      <c r="AB353" s="106">
        <f t="shared" si="357"/>
        <v>12462.5</v>
      </c>
      <c r="AC353" s="109"/>
      <c r="AD353" s="106">
        <f t="shared" si="358"/>
        <v>12462.5</v>
      </c>
      <c r="AE353" s="109">
        <v>135</v>
      </c>
      <c r="AF353" s="106">
        <f t="shared" si="359"/>
        <v>12597.5</v>
      </c>
      <c r="AG353" s="147"/>
      <c r="AH353" s="106">
        <f t="shared" si="360"/>
        <v>12597.5</v>
      </c>
      <c r="AI353" s="109"/>
      <c r="AJ353" s="106">
        <f t="shared" si="361"/>
        <v>12597.5</v>
      </c>
      <c r="AK353" s="109"/>
      <c r="AL353" s="106">
        <f t="shared" si="362"/>
        <v>12597.5</v>
      </c>
      <c r="AM353" s="109"/>
      <c r="AN353" s="106">
        <f t="shared" si="363"/>
        <v>12597.5</v>
      </c>
      <c r="AO353" s="106">
        <v>9576</v>
      </c>
      <c r="AP353" s="113">
        <v>5907</v>
      </c>
      <c r="AQ353" s="243">
        <v>13000</v>
      </c>
      <c r="AR353" s="275"/>
      <c r="AS353" s="244">
        <f t="shared" si="342"/>
        <v>13000</v>
      </c>
      <c r="AT353" s="103"/>
      <c r="AU353" s="103"/>
      <c r="AV353" s="103"/>
      <c r="AX353">
        <f>AY351*AX350/100</f>
        <v>660.1410000000001</v>
      </c>
      <c r="AY353">
        <f>AX353+AY351</f>
        <v>4350.141</v>
      </c>
      <c r="AZ353">
        <v>3690</v>
      </c>
      <c r="BC353">
        <f>BD351*BC350/100</f>
        <v>984.3078</v>
      </c>
      <c r="BD353">
        <f>BC353+BD351</f>
        <v>6486.3078000000005</v>
      </c>
      <c r="BE353">
        <v>5502</v>
      </c>
    </row>
    <row r="354" spans="1:57" ht="12.75" hidden="1">
      <c r="A354" s="21"/>
      <c r="B354" s="27">
        <v>4170</v>
      </c>
      <c r="C354" s="18" t="s">
        <v>42</v>
      </c>
      <c r="D354" s="104">
        <v>25000</v>
      </c>
      <c r="E354" s="206"/>
      <c r="F354" s="106">
        <f t="shared" si="349"/>
        <v>25000</v>
      </c>
      <c r="G354" s="109"/>
      <c r="H354" s="106">
        <f t="shared" si="349"/>
        <v>25000</v>
      </c>
      <c r="I354" s="109"/>
      <c r="J354" s="106">
        <f t="shared" si="350"/>
        <v>25000</v>
      </c>
      <c r="K354" s="110"/>
      <c r="L354" s="106">
        <f t="shared" si="351"/>
        <v>25000</v>
      </c>
      <c r="M354" s="109"/>
      <c r="N354" s="106">
        <f t="shared" si="352"/>
        <v>25000</v>
      </c>
      <c r="O354" s="106"/>
      <c r="P354" s="106">
        <f t="shared" si="352"/>
        <v>25000</v>
      </c>
      <c r="Q354" s="109"/>
      <c r="R354" s="106">
        <f t="shared" si="352"/>
        <v>25000</v>
      </c>
      <c r="S354" s="109"/>
      <c r="T354" s="106">
        <f t="shared" si="353"/>
        <v>25000</v>
      </c>
      <c r="U354" s="109"/>
      <c r="V354" s="106">
        <f t="shared" si="354"/>
        <v>25000</v>
      </c>
      <c r="W354" s="109"/>
      <c r="X354" s="106">
        <f t="shared" si="355"/>
        <v>25000</v>
      </c>
      <c r="Y354" s="109"/>
      <c r="Z354" s="106">
        <f t="shared" si="356"/>
        <v>25000</v>
      </c>
      <c r="AA354" s="109"/>
      <c r="AB354" s="106">
        <f t="shared" si="357"/>
        <v>25000</v>
      </c>
      <c r="AC354" s="109"/>
      <c r="AD354" s="106">
        <f t="shared" si="358"/>
        <v>25000</v>
      </c>
      <c r="AE354" s="109"/>
      <c r="AF354" s="106">
        <f t="shared" si="359"/>
        <v>25000</v>
      </c>
      <c r="AG354" s="147"/>
      <c r="AH354" s="106">
        <f t="shared" si="360"/>
        <v>25000</v>
      </c>
      <c r="AI354" s="109"/>
      <c r="AJ354" s="106">
        <f t="shared" si="361"/>
        <v>25000</v>
      </c>
      <c r="AK354" s="109"/>
      <c r="AL354" s="106">
        <f t="shared" si="362"/>
        <v>25000</v>
      </c>
      <c r="AM354" s="109"/>
      <c r="AN354" s="106">
        <f t="shared" si="363"/>
        <v>25000</v>
      </c>
      <c r="AO354" s="106">
        <v>28497</v>
      </c>
      <c r="AP354" s="113">
        <v>17497</v>
      </c>
      <c r="AQ354" s="243">
        <v>20000</v>
      </c>
      <c r="AR354" s="275"/>
      <c r="AS354" s="244">
        <f t="shared" si="342"/>
        <v>20000</v>
      </c>
      <c r="AT354" s="103"/>
      <c r="AU354" s="103"/>
      <c r="AV354" s="103"/>
      <c r="AX354">
        <f>AY351*2.45/100</f>
        <v>90.405</v>
      </c>
      <c r="AZ354">
        <v>90</v>
      </c>
      <c r="BC354">
        <f>BD351*2.45/100</f>
        <v>134.799</v>
      </c>
      <c r="BE354">
        <v>135</v>
      </c>
    </row>
    <row r="355" spans="1:57" ht="12.75" hidden="1">
      <c r="A355" s="21"/>
      <c r="B355" s="27">
        <v>4210</v>
      </c>
      <c r="C355" s="18" t="s">
        <v>14</v>
      </c>
      <c r="D355" s="104">
        <v>10000</v>
      </c>
      <c r="E355" s="209"/>
      <c r="F355" s="106">
        <f t="shared" si="349"/>
        <v>10000</v>
      </c>
      <c r="G355" s="109"/>
      <c r="H355" s="106">
        <f t="shared" si="349"/>
        <v>10000</v>
      </c>
      <c r="I355" s="109"/>
      <c r="J355" s="106">
        <f t="shared" si="350"/>
        <v>10000</v>
      </c>
      <c r="K355" s="110"/>
      <c r="L355" s="106">
        <f t="shared" si="351"/>
        <v>10000</v>
      </c>
      <c r="M355" s="109"/>
      <c r="N355" s="106">
        <f t="shared" si="352"/>
        <v>10000</v>
      </c>
      <c r="O355" s="106"/>
      <c r="P355" s="106">
        <f t="shared" si="352"/>
        <v>10000</v>
      </c>
      <c r="Q355" s="109"/>
      <c r="R355" s="106">
        <f t="shared" si="352"/>
        <v>10000</v>
      </c>
      <c r="S355" s="109"/>
      <c r="T355" s="106">
        <f t="shared" si="353"/>
        <v>10000</v>
      </c>
      <c r="U355" s="109"/>
      <c r="V355" s="106">
        <f t="shared" si="354"/>
        <v>10000</v>
      </c>
      <c r="W355" s="109"/>
      <c r="X355" s="106">
        <f t="shared" si="355"/>
        <v>10000</v>
      </c>
      <c r="Y355" s="109"/>
      <c r="Z355" s="106">
        <f t="shared" si="356"/>
        <v>10000</v>
      </c>
      <c r="AA355" s="109"/>
      <c r="AB355" s="106">
        <f t="shared" si="357"/>
        <v>10000</v>
      </c>
      <c r="AC355" s="109"/>
      <c r="AD355" s="106">
        <f t="shared" si="358"/>
        <v>10000</v>
      </c>
      <c r="AE355" s="109"/>
      <c r="AF355" s="106">
        <f t="shared" si="359"/>
        <v>10000</v>
      </c>
      <c r="AG355" s="147"/>
      <c r="AH355" s="106">
        <f t="shared" si="360"/>
        <v>10000</v>
      </c>
      <c r="AI355" s="109"/>
      <c r="AJ355" s="106">
        <f t="shared" si="361"/>
        <v>10000</v>
      </c>
      <c r="AK355" s="109">
        <v>-5000</v>
      </c>
      <c r="AL355" s="106">
        <f t="shared" si="362"/>
        <v>5000</v>
      </c>
      <c r="AM355" s="109"/>
      <c r="AN355" s="106">
        <f t="shared" si="363"/>
        <v>5000</v>
      </c>
      <c r="AO355" s="106">
        <v>16953</v>
      </c>
      <c r="AP355" s="113">
        <v>1714</v>
      </c>
      <c r="AQ355" s="243">
        <v>5000</v>
      </c>
      <c r="AR355" s="275"/>
      <c r="AS355" s="244">
        <f t="shared" si="342"/>
        <v>5000</v>
      </c>
      <c r="AT355" s="103"/>
      <c r="AU355" s="103"/>
      <c r="AV355" s="103"/>
      <c r="AX355">
        <f>AY351*15.44/100</f>
        <v>569.736</v>
      </c>
      <c r="AZ355">
        <v>570</v>
      </c>
      <c r="BC355">
        <f>BD351*15.44/100</f>
        <v>849.5088</v>
      </c>
      <c r="BE355">
        <v>849</v>
      </c>
    </row>
    <row r="356" spans="1:57" ht="12.75" hidden="1">
      <c r="A356" s="21"/>
      <c r="B356" s="27">
        <v>4260</v>
      </c>
      <c r="C356" s="18" t="s">
        <v>43</v>
      </c>
      <c r="D356" s="104">
        <v>13000</v>
      </c>
      <c r="E356" s="206"/>
      <c r="F356" s="106">
        <f t="shared" si="349"/>
        <v>13000</v>
      </c>
      <c r="G356" s="109"/>
      <c r="H356" s="106">
        <f t="shared" si="349"/>
        <v>13000</v>
      </c>
      <c r="I356" s="109"/>
      <c r="J356" s="106">
        <f t="shared" si="350"/>
        <v>13000</v>
      </c>
      <c r="K356" s="110"/>
      <c r="L356" s="106">
        <f t="shared" si="351"/>
        <v>13000</v>
      </c>
      <c r="M356" s="109"/>
      <c r="N356" s="106">
        <f t="shared" si="352"/>
        <v>13000</v>
      </c>
      <c r="O356" s="106"/>
      <c r="P356" s="106">
        <f t="shared" si="352"/>
        <v>13000</v>
      </c>
      <c r="Q356" s="109"/>
      <c r="R356" s="106">
        <f t="shared" si="352"/>
        <v>13000</v>
      </c>
      <c r="S356" s="109"/>
      <c r="T356" s="106">
        <f t="shared" si="353"/>
        <v>13000</v>
      </c>
      <c r="U356" s="109"/>
      <c r="V356" s="106">
        <f t="shared" si="354"/>
        <v>13000</v>
      </c>
      <c r="W356" s="109"/>
      <c r="X356" s="106">
        <f t="shared" si="355"/>
        <v>13000</v>
      </c>
      <c r="Y356" s="109"/>
      <c r="Z356" s="106">
        <f t="shared" si="356"/>
        <v>13000</v>
      </c>
      <c r="AA356" s="109"/>
      <c r="AB356" s="106">
        <f t="shared" si="357"/>
        <v>13000</v>
      </c>
      <c r="AC356" s="109"/>
      <c r="AD356" s="106">
        <f t="shared" si="358"/>
        <v>13000</v>
      </c>
      <c r="AE356" s="109"/>
      <c r="AF356" s="106">
        <f t="shared" si="359"/>
        <v>13000</v>
      </c>
      <c r="AG356" s="147"/>
      <c r="AH356" s="106">
        <f t="shared" si="360"/>
        <v>13000</v>
      </c>
      <c r="AI356" s="109"/>
      <c r="AJ356" s="106">
        <f t="shared" si="361"/>
        <v>13000</v>
      </c>
      <c r="AK356" s="109"/>
      <c r="AL356" s="106">
        <f t="shared" si="362"/>
        <v>13000</v>
      </c>
      <c r="AM356" s="109"/>
      <c r="AN356" s="106">
        <f t="shared" si="363"/>
        <v>13000</v>
      </c>
      <c r="AO356" s="106">
        <v>13359</v>
      </c>
      <c r="AP356" s="113">
        <v>8950</v>
      </c>
      <c r="AQ356" s="243">
        <v>13359</v>
      </c>
      <c r="AR356" s="275"/>
      <c r="AS356" s="244">
        <f t="shared" si="342"/>
        <v>13359</v>
      </c>
      <c r="AT356" s="103"/>
      <c r="AU356" s="164">
        <f>AQ356/(AP356/3*4)</f>
        <v>1.1194692737430167</v>
      </c>
      <c r="AV356" s="103">
        <f>(AP356/3*4)*130%</f>
        <v>15513.333333333334</v>
      </c>
      <c r="AZ356">
        <f>SUM(AZ353:AZ355)</f>
        <v>4350</v>
      </c>
      <c r="BE356">
        <f>SUM(BE353:BE355)</f>
        <v>6486</v>
      </c>
    </row>
    <row r="357" spans="1:48" ht="12.75" hidden="1">
      <c r="A357" s="21"/>
      <c r="B357" s="27">
        <v>4270</v>
      </c>
      <c r="C357" s="18" t="s">
        <v>24</v>
      </c>
      <c r="D357" s="104">
        <v>2000</v>
      </c>
      <c r="E357" s="206"/>
      <c r="F357" s="106">
        <f t="shared" si="349"/>
        <v>2000</v>
      </c>
      <c r="G357" s="109"/>
      <c r="H357" s="106">
        <f t="shared" si="349"/>
        <v>2000</v>
      </c>
      <c r="I357" s="109"/>
      <c r="J357" s="106">
        <f t="shared" si="350"/>
        <v>2000</v>
      </c>
      <c r="K357" s="110"/>
      <c r="L357" s="106">
        <f t="shared" si="351"/>
        <v>2000</v>
      </c>
      <c r="M357" s="109"/>
      <c r="N357" s="106">
        <f t="shared" si="352"/>
        <v>2000</v>
      </c>
      <c r="O357" s="106"/>
      <c r="P357" s="106">
        <f t="shared" si="352"/>
        <v>2000</v>
      </c>
      <c r="Q357" s="109"/>
      <c r="R357" s="106">
        <f t="shared" si="352"/>
        <v>2000</v>
      </c>
      <c r="S357" s="109"/>
      <c r="T357" s="106">
        <f t="shared" si="353"/>
        <v>2000</v>
      </c>
      <c r="U357" s="109"/>
      <c r="V357" s="106">
        <f t="shared" si="354"/>
        <v>2000</v>
      </c>
      <c r="W357" s="109"/>
      <c r="X357" s="106">
        <f t="shared" si="355"/>
        <v>2000</v>
      </c>
      <c r="Y357" s="109"/>
      <c r="Z357" s="106">
        <f t="shared" si="356"/>
        <v>2000</v>
      </c>
      <c r="AA357" s="109"/>
      <c r="AB357" s="106">
        <f t="shared" si="357"/>
        <v>2000</v>
      </c>
      <c r="AC357" s="109"/>
      <c r="AD357" s="106">
        <f t="shared" si="358"/>
        <v>2000</v>
      </c>
      <c r="AE357" s="109"/>
      <c r="AF357" s="106">
        <f t="shared" si="359"/>
        <v>2000</v>
      </c>
      <c r="AG357" s="147"/>
      <c r="AH357" s="106">
        <f t="shared" si="360"/>
        <v>2000</v>
      </c>
      <c r="AI357" s="109"/>
      <c r="AJ357" s="106">
        <f t="shared" si="361"/>
        <v>2000</v>
      </c>
      <c r="AK357" s="109"/>
      <c r="AL357" s="106">
        <f t="shared" si="362"/>
        <v>2000</v>
      </c>
      <c r="AM357" s="109"/>
      <c r="AN357" s="106">
        <f t="shared" si="363"/>
        <v>2000</v>
      </c>
      <c r="AO357" s="106">
        <v>166</v>
      </c>
      <c r="AP357" s="113">
        <v>0</v>
      </c>
      <c r="AQ357" s="243">
        <v>0</v>
      </c>
      <c r="AR357" s="275"/>
      <c r="AS357" s="244">
        <f t="shared" si="342"/>
        <v>0</v>
      </c>
      <c r="AT357" s="103"/>
      <c r="AU357" s="103"/>
      <c r="AV357" s="103"/>
    </row>
    <row r="358" spans="1:48" ht="12.75" hidden="1">
      <c r="A358" s="21"/>
      <c r="B358" s="27">
        <v>4280</v>
      </c>
      <c r="C358" s="18" t="s">
        <v>44</v>
      </c>
      <c r="D358" s="104">
        <v>2000</v>
      </c>
      <c r="E358" s="206"/>
      <c r="F358" s="106">
        <f t="shared" si="349"/>
        <v>2000</v>
      </c>
      <c r="G358" s="109"/>
      <c r="H358" s="106">
        <f t="shared" si="349"/>
        <v>2000</v>
      </c>
      <c r="I358" s="109"/>
      <c r="J358" s="106">
        <f t="shared" si="350"/>
        <v>2000</v>
      </c>
      <c r="K358" s="110"/>
      <c r="L358" s="106">
        <f t="shared" si="351"/>
        <v>2000</v>
      </c>
      <c r="M358" s="109"/>
      <c r="N358" s="106">
        <f t="shared" si="352"/>
        <v>2000</v>
      </c>
      <c r="O358" s="106"/>
      <c r="P358" s="106">
        <f t="shared" si="352"/>
        <v>2000</v>
      </c>
      <c r="Q358" s="109"/>
      <c r="R358" s="106">
        <f t="shared" si="352"/>
        <v>2000</v>
      </c>
      <c r="S358" s="109"/>
      <c r="T358" s="106">
        <f t="shared" si="353"/>
        <v>2000</v>
      </c>
      <c r="U358" s="109"/>
      <c r="V358" s="106">
        <f t="shared" si="354"/>
        <v>2000</v>
      </c>
      <c r="W358" s="109"/>
      <c r="X358" s="106">
        <f t="shared" si="355"/>
        <v>2000</v>
      </c>
      <c r="Y358" s="109"/>
      <c r="Z358" s="106">
        <f t="shared" si="356"/>
        <v>2000</v>
      </c>
      <c r="AA358" s="109"/>
      <c r="AB358" s="106">
        <f t="shared" si="357"/>
        <v>2000</v>
      </c>
      <c r="AC358" s="109"/>
      <c r="AD358" s="106">
        <f t="shared" si="358"/>
        <v>2000</v>
      </c>
      <c r="AE358" s="109"/>
      <c r="AF358" s="106">
        <f t="shared" si="359"/>
        <v>2000</v>
      </c>
      <c r="AG358" s="147"/>
      <c r="AH358" s="106">
        <f t="shared" si="360"/>
        <v>2000</v>
      </c>
      <c r="AI358" s="109"/>
      <c r="AJ358" s="106">
        <f t="shared" si="361"/>
        <v>2000</v>
      </c>
      <c r="AK358" s="109"/>
      <c r="AL358" s="106">
        <f t="shared" si="362"/>
        <v>2000</v>
      </c>
      <c r="AM358" s="109"/>
      <c r="AN358" s="106">
        <f t="shared" si="363"/>
        <v>2000</v>
      </c>
      <c r="AO358" s="106">
        <v>40</v>
      </c>
      <c r="AP358" s="113">
        <v>194</v>
      </c>
      <c r="AQ358" s="243">
        <v>500</v>
      </c>
      <c r="AR358" s="275"/>
      <c r="AS358" s="244">
        <f t="shared" si="342"/>
        <v>500</v>
      </c>
      <c r="AT358" s="103"/>
      <c r="AU358" s="103"/>
      <c r="AV358" s="103"/>
    </row>
    <row r="359" spans="1:48" ht="12.75" hidden="1">
      <c r="A359" s="21"/>
      <c r="B359" s="27">
        <v>4300</v>
      </c>
      <c r="C359" s="18" t="s">
        <v>15</v>
      </c>
      <c r="D359" s="104">
        <v>10000</v>
      </c>
      <c r="E359" s="206"/>
      <c r="F359" s="106">
        <f t="shared" si="349"/>
        <v>10000</v>
      </c>
      <c r="G359" s="109"/>
      <c r="H359" s="106">
        <f t="shared" si="349"/>
        <v>10000</v>
      </c>
      <c r="I359" s="109"/>
      <c r="J359" s="106">
        <f t="shared" si="350"/>
        <v>10000</v>
      </c>
      <c r="K359" s="110"/>
      <c r="L359" s="106">
        <f t="shared" si="351"/>
        <v>10000</v>
      </c>
      <c r="M359" s="109"/>
      <c r="N359" s="106">
        <f t="shared" si="352"/>
        <v>10000</v>
      </c>
      <c r="O359" s="106"/>
      <c r="P359" s="106">
        <f t="shared" si="352"/>
        <v>10000</v>
      </c>
      <c r="Q359" s="109"/>
      <c r="R359" s="106">
        <f t="shared" si="352"/>
        <v>10000</v>
      </c>
      <c r="S359" s="109">
        <v>4000</v>
      </c>
      <c r="T359" s="106">
        <f t="shared" si="353"/>
        <v>14000</v>
      </c>
      <c r="U359" s="109"/>
      <c r="V359" s="106">
        <f t="shared" si="354"/>
        <v>14000</v>
      </c>
      <c r="W359" s="109"/>
      <c r="X359" s="106">
        <f t="shared" si="355"/>
        <v>14000</v>
      </c>
      <c r="Y359" s="109"/>
      <c r="Z359" s="106">
        <f t="shared" si="356"/>
        <v>14000</v>
      </c>
      <c r="AA359" s="109"/>
      <c r="AB359" s="106">
        <f t="shared" si="357"/>
        <v>14000</v>
      </c>
      <c r="AC359" s="109"/>
      <c r="AD359" s="106">
        <f t="shared" si="358"/>
        <v>14000</v>
      </c>
      <c r="AE359" s="109"/>
      <c r="AF359" s="106">
        <f t="shared" si="359"/>
        <v>14000</v>
      </c>
      <c r="AG359" s="147"/>
      <c r="AH359" s="106">
        <f t="shared" si="360"/>
        <v>14000</v>
      </c>
      <c r="AI359" s="109"/>
      <c r="AJ359" s="106">
        <f t="shared" si="361"/>
        <v>14000</v>
      </c>
      <c r="AK359" s="109">
        <v>3500</v>
      </c>
      <c r="AL359" s="106">
        <f t="shared" si="362"/>
        <v>17500</v>
      </c>
      <c r="AM359" s="109"/>
      <c r="AN359" s="106">
        <f t="shared" si="363"/>
        <v>17500</v>
      </c>
      <c r="AO359" s="106">
        <v>14538</v>
      </c>
      <c r="AP359" s="113">
        <v>12666</v>
      </c>
      <c r="AQ359" s="243">
        <v>15000</v>
      </c>
      <c r="AR359" s="275"/>
      <c r="AS359" s="244">
        <f t="shared" si="342"/>
        <v>15000</v>
      </c>
      <c r="AT359" s="103"/>
      <c r="AU359" s="103"/>
      <c r="AV359" s="103"/>
    </row>
    <row r="360" spans="1:48" ht="12.75" hidden="1">
      <c r="A360" s="21"/>
      <c r="B360" s="27">
        <v>4350</v>
      </c>
      <c r="C360" s="18" t="s">
        <v>55</v>
      </c>
      <c r="D360" s="104">
        <v>2000</v>
      </c>
      <c r="E360" s="206"/>
      <c r="F360" s="106">
        <f t="shared" si="349"/>
        <v>2000</v>
      </c>
      <c r="G360" s="109"/>
      <c r="H360" s="106">
        <f t="shared" si="349"/>
        <v>2000</v>
      </c>
      <c r="I360" s="109"/>
      <c r="J360" s="106">
        <f t="shared" si="350"/>
        <v>2000</v>
      </c>
      <c r="K360" s="110"/>
      <c r="L360" s="106">
        <f t="shared" si="351"/>
        <v>2000</v>
      </c>
      <c r="M360" s="109"/>
      <c r="N360" s="106">
        <f t="shared" si="352"/>
        <v>2000</v>
      </c>
      <c r="O360" s="106"/>
      <c r="P360" s="106">
        <f t="shared" si="352"/>
        <v>2000</v>
      </c>
      <c r="Q360" s="109"/>
      <c r="R360" s="106">
        <f t="shared" si="352"/>
        <v>2000</v>
      </c>
      <c r="S360" s="109"/>
      <c r="T360" s="106">
        <f t="shared" si="353"/>
        <v>2000</v>
      </c>
      <c r="U360" s="109"/>
      <c r="V360" s="106">
        <f t="shared" si="354"/>
        <v>2000</v>
      </c>
      <c r="W360" s="109"/>
      <c r="X360" s="106">
        <f t="shared" si="355"/>
        <v>2000</v>
      </c>
      <c r="Y360" s="109"/>
      <c r="Z360" s="106">
        <f t="shared" si="356"/>
        <v>2000</v>
      </c>
      <c r="AA360" s="109"/>
      <c r="AB360" s="106">
        <f t="shared" si="357"/>
        <v>2000</v>
      </c>
      <c r="AC360" s="109"/>
      <c r="AD360" s="106">
        <f t="shared" si="358"/>
        <v>2000</v>
      </c>
      <c r="AE360" s="109"/>
      <c r="AF360" s="106">
        <f t="shared" si="359"/>
        <v>2000</v>
      </c>
      <c r="AG360" s="147"/>
      <c r="AH360" s="106">
        <f t="shared" si="360"/>
        <v>2000</v>
      </c>
      <c r="AI360" s="109"/>
      <c r="AJ360" s="106">
        <f t="shared" si="361"/>
        <v>2000</v>
      </c>
      <c r="AK360" s="109"/>
      <c r="AL360" s="106">
        <f t="shared" si="362"/>
        <v>2000</v>
      </c>
      <c r="AM360" s="109"/>
      <c r="AN360" s="106">
        <f t="shared" si="363"/>
        <v>2000</v>
      </c>
      <c r="AO360" s="106">
        <v>1435</v>
      </c>
      <c r="AP360" s="113">
        <v>1003</v>
      </c>
      <c r="AQ360" s="243">
        <v>2000</v>
      </c>
      <c r="AR360" s="275"/>
      <c r="AS360" s="244">
        <f t="shared" si="342"/>
        <v>2000</v>
      </c>
      <c r="AT360" s="103"/>
      <c r="AU360" s="103"/>
      <c r="AV360" s="103"/>
    </row>
    <row r="361" spans="1:48" ht="25.5" hidden="1">
      <c r="A361" s="21"/>
      <c r="B361" s="27">
        <v>4360</v>
      </c>
      <c r="C361" s="18" t="s">
        <v>46</v>
      </c>
      <c r="D361" s="104">
        <v>0</v>
      </c>
      <c r="E361" s="206"/>
      <c r="F361" s="106">
        <f t="shared" si="349"/>
        <v>0</v>
      </c>
      <c r="G361" s="109">
        <v>1200</v>
      </c>
      <c r="H361" s="106">
        <f t="shared" si="349"/>
        <v>1200</v>
      </c>
      <c r="I361" s="109"/>
      <c r="J361" s="106">
        <f t="shared" si="350"/>
        <v>1200</v>
      </c>
      <c r="K361" s="110"/>
      <c r="L361" s="106">
        <f t="shared" si="351"/>
        <v>1200</v>
      </c>
      <c r="M361" s="109"/>
      <c r="N361" s="106">
        <f t="shared" si="352"/>
        <v>1200</v>
      </c>
      <c r="O361" s="106"/>
      <c r="P361" s="106">
        <f t="shared" si="352"/>
        <v>1200</v>
      </c>
      <c r="Q361" s="109"/>
      <c r="R361" s="106">
        <f t="shared" si="352"/>
        <v>1200</v>
      </c>
      <c r="S361" s="109"/>
      <c r="T361" s="106">
        <f t="shared" si="353"/>
        <v>1200</v>
      </c>
      <c r="U361" s="109"/>
      <c r="V361" s="106">
        <f t="shared" si="354"/>
        <v>1200</v>
      </c>
      <c r="W361" s="109"/>
      <c r="X361" s="106">
        <f t="shared" si="355"/>
        <v>1200</v>
      </c>
      <c r="Y361" s="109"/>
      <c r="Z361" s="106">
        <f t="shared" si="356"/>
        <v>1200</v>
      </c>
      <c r="AA361" s="109"/>
      <c r="AB361" s="106">
        <f t="shared" si="357"/>
        <v>1200</v>
      </c>
      <c r="AC361" s="109"/>
      <c r="AD361" s="106">
        <f t="shared" si="358"/>
        <v>1200</v>
      </c>
      <c r="AE361" s="109"/>
      <c r="AF361" s="106">
        <f t="shared" si="359"/>
        <v>1200</v>
      </c>
      <c r="AG361" s="147"/>
      <c r="AH361" s="106">
        <f t="shared" si="360"/>
        <v>1200</v>
      </c>
      <c r="AI361" s="109"/>
      <c r="AJ361" s="106">
        <f t="shared" si="361"/>
        <v>1200</v>
      </c>
      <c r="AK361" s="109"/>
      <c r="AL361" s="106">
        <f t="shared" si="362"/>
        <v>1200</v>
      </c>
      <c r="AM361" s="109"/>
      <c r="AN361" s="106">
        <f t="shared" si="363"/>
        <v>1200</v>
      </c>
      <c r="AO361" s="106">
        <v>0</v>
      </c>
      <c r="AP361" s="113">
        <v>473</v>
      </c>
      <c r="AQ361" s="243">
        <v>800</v>
      </c>
      <c r="AR361" s="275"/>
      <c r="AS361" s="244">
        <f t="shared" si="342"/>
        <v>800</v>
      </c>
      <c r="AT361" s="103"/>
      <c r="AU361" s="103">
        <f>473/3*4</f>
        <v>630.6666666666666</v>
      </c>
      <c r="AV361" s="103"/>
    </row>
    <row r="362" spans="1:48" ht="25.5" hidden="1">
      <c r="A362" s="21"/>
      <c r="B362" s="27">
        <v>4370</v>
      </c>
      <c r="C362" s="18" t="s">
        <v>47</v>
      </c>
      <c r="D362" s="104">
        <v>4000</v>
      </c>
      <c r="E362" s="106"/>
      <c r="F362" s="106">
        <f t="shared" si="349"/>
        <v>4000</v>
      </c>
      <c r="G362" s="109"/>
      <c r="H362" s="106">
        <f t="shared" si="349"/>
        <v>4000</v>
      </c>
      <c r="I362" s="109"/>
      <c r="J362" s="106">
        <f t="shared" si="350"/>
        <v>4000</v>
      </c>
      <c r="K362" s="110"/>
      <c r="L362" s="106">
        <f t="shared" si="351"/>
        <v>4000</v>
      </c>
      <c r="M362" s="109"/>
      <c r="N362" s="106">
        <f t="shared" si="352"/>
        <v>4000</v>
      </c>
      <c r="O362" s="106"/>
      <c r="P362" s="106">
        <f t="shared" si="352"/>
        <v>4000</v>
      </c>
      <c r="Q362" s="109"/>
      <c r="R362" s="106">
        <f t="shared" si="352"/>
        <v>4000</v>
      </c>
      <c r="S362" s="109"/>
      <c r="T362" s="106">
        <f t="shared" si="353"/>
        <v>4000</v>
      </c>
      <c r="U362" s="109"/>
      <c r="V362" s="106">
        <f t="shared" si="354"/>
        <v>4000</v>
      </c>
      <c r="W362" s="109"/>
      <c r="X362" s="106">
        <f t="shared" si="355"/>
        <v>4000</v>
      </c>
      <c r="Y362" s="109"/>
      <c r="Z362" s="106">
        <f t="shared" si="356"/>
        <v>4000</v>
      </c>
      <c r="AA362" s="109"/>
      <c r="AB362" s="106">
        <f t="shared" si="357"/>
        <v>4000</v>
      </c>
      <c r="AC362" s="109"/>
      <c r="AD362" s="106">
        <f t="shared" si="358"/>
        <v>4000</v>
      </c>
      <c r="AE362" s="109"/>
      <c r="AF362" s="106">
        <f t="shared" si="359"/>
        <v>4000</v>
      </c>
      <c r="AG362" s="147"/>
      <c r="AH362" s="106">
        <f t="shared" si="360"/>
        <v>4000</v>
      </c>
      <c r="AI362" s="109"/>
      <c r="AJ362" s="106">
        <f t="shared" si="361"/>
        <v>4000</v>
      </c>
      <c r="AK362" s="109"/>
      <c r="AL362" s="106">
        <f t="shared" si="362"/>
        <v>4000</v>
      </c>
      <c r="AM362" s="109"/>
      <c r="AN362" s="106">
        <f t="shared" si="363"/>
        <v>4000</v>
      </c>
      <c r="AO362" s="106">
        <v>3987</v>
      </c>
      <c r="AP362" s="113">
        <v>2853</v>
      </c>
      <c r="AQ362" s="243">
        <v>4000</v>
      </c>
      <c r="AR362" s="275"/>
      <c r="AS362" s="244">
        <f t="shared" si="342"/>
        <v>4000</v>
      </c>
      <c r="AT362" s="103"/>
      <c r="AU362" s="103"/>
      <c r="AV362" s="103"/>
    </row>
    <row r="363" spans="1:48" ht="12.75" hidden="1">
      <c r="A363" s="21"/>
      <c r="B363" s="27">
        <v>4410</v>
      </c>
      <c r="C363" s="18" t="s">
        <v>48</v>
      </c>
      <c r="D363" s="104">
        <v>2000</v>
      </c>
      <c r="E363" s="106"/>
      <c r="F363" s="106">
        <f t="shared" si="349"/>
        <v>2000</v>
      </c>
      <c r="G363" s="109"/>
      <c r="H363" s="106">
        <f t="shared" si="349"/>
        <v>2000</v>
      </c>
      <c r="I363" s="109"/>
      <c r="J363" s="106">
        <f t="shared" si="350"/>
        <v>2000</v>
      </c>
      <c r="K363" s="110"/>
      <c r="L363" s="106">
        <f t="shared" si="351"/>
        <v>2000</v>
      </c>
      <c r="M363" s="109"/>
      <c r="N363" s="106">
        <f t="shared" si="352"/>
        <v>2000</v>
      </c>
      <c r="O363" s="106"/>
      <c r="P363" s="106">
        <f t="shared" si="352"/>
        <v>2000</v>
      </c>
      <c r="Q363" s="109"/>
      <c r="R363" s="106">
        <f t="shared" si="352"/>
        <v>2000</v>
      </c>
      <c r="S363" s="109"/>
      <c r="T363" s="106">
        <f t="shared" si="353"/>
        <v>2000</v>
      </c>
      <c r="U363" s="109"/>
      <c r="V363" s="106">
        <f t="shared" si="354"/>
        <v>2000</v>
      </c>
      <c r="W363" s="109"/>
      <c r="X363" s="106">
        <f t="shared" si="355"/>
        <v>2000</v>
      </c>
      <c r="Y363" s="109"/>
      <c r="Z363" s="106">
        <f t="shared" si="356"/>
        <v>2000</v>
      </c>
      <c r="AA363" s="109"/>
      <c r="AB363" s="106">
        <f t="shared" si="357"/>
        <v>2000</v>
      </c>
      <c r="AC363" s="109"/>
      <c r="AD363" s="106">
        <f t="shared" si="358"/>
        <v>2000</v>
      </c>
      <c r="AE363" s="109"/>
      <c r="AF363" s="106">
        <f t="shared" si="359"/>
        <v>2000</v>
      </c>
      <c r="AG363" s="147"/>
      <c r="AH363" s="106">
        <f t="shared" si="360"/>
        <v>2000</v>
      </c>
      <c r="AI363" s="109"/>
      <c r="AJ363" s="106">
        <f t="shared" si="361"/>
        <v>2000</v>
      </c>
      <c r="AK363" s="109"/>
      <c r="AL363" s="106">
        <f t="shared" si="362"/>
        <v>2000</v>
      </c>
      <c r="AM363" s="109"/>
      <c r="AN363" s="106">
        <f t="shared" si="363"/>
        <v>2000</v>
      </c>
      <c r="AO363" s="106">
        <v>383</v>
      </c>
      <c r="AP363" s="113">
        <v>177</v>
      </c>
      <c r="AQ363" s="243">
        <v>500</v>
      </c>
      <c r="AR363" s="275"/>
      <c r="AS363" s="244">
        <f t="shared" si="342"/>
        <v>500</v>
      </c>
      <c r="AT363" s="103"/>
      <c r="AU363" s="103"/>
      <c r="AV363" s="103"/>
    </row>
    <row r="364" spans="1:48" ht="12.75" hidden="1">
      <c r="A364" s="21"/>
      <c r="B364" s="27">
        <v>4430</v>
      </c>
      <c r="C364" s="18" t="s">
        <v>16</v>
      </c>
      <c r="D364" s="104"/>
      <c r="E364" s="106"/>
      <c r="F364" s="106"/>
      <c r="G364" s="109"/>
      <c r="H364" s="106"/>
      <c r="I364" s="109"/>
      <c r="J364" s="106"/>
      <c r="K364" s="110"/>
      <c r="L364" s="106"/>
      <c r="M364" s="109"/>
      <c r="N364" s="106"/>
      <c r="O364" s="106">
        <v>525</v>
      </c>
      <c r="P364" s="106">
        <f t="shared" si="352"/>
        <v>525</v>
      </c>
      <c r="Q364" s="109"/>
      <c r="R364" s="106">
        <f t="shared" si="352"/>
        <v>525</v>
      </c>
      <c r="S364" s="109"/>
      <c r="T364" s="106">
        <f t="shared" si="353"/>
        <v>525</v>
      </c>
      <c r="U364" s="109"/>
      <c r="V364" s="106">
        <f t="shared" si="354"/>
        <v>525</v>
      </c>
      <c r="W364" s="109"/>
      <c r="X364" s="106">
        <f t="shared" si="355"/>
        <v>525</v>
      </c>
      <c r="Y364" s="109"/>
      <c r="Z364" s="106">
        <f t="shared" si="356"/>
        <v>525</v>
      </c>
      <c r="AA364" s="109"/>
      <c r="AB364" s="106">
        <f t="shared" si="357"/>
        <v>525</v>
      </c>
      <c r="AC364" s="109"/>
      <c r="AD364" s="106">
        <f t="shared" si="358"/>
        <v>525</v>
      </c>
      <c r="AE364" s="109"/>
      <c r="AF364" s="106">
        <f t="shared" si="359"/>
        <v>525</v>
      </c>
      <c r="AG364" s="147"/>
      <c r="AH364" s="106">
        <f t="shared" si="360"/>
        <v>525</v>
      </c>
      <c r="AI364" s="109"/>
      <c r="AJ364" s="106">
        <f t="shared" si="361"/>
        <v>525</v>
      </c>
      <c r="AK364" s="109"/>
      <c r="AL364" s="106">
        <f t="shared" si="362"/>
        <v>525</v>
      </c>
      <c r="AM364" s="109"/>
      <c r="AN364" s="106">
        <f t="shared" si="363"/>
        <v>525</v>
      </c>
      <c r="AO364" s="106">
        <v>0</v>
      </c>
      <c r="AP364" s="113">
        <v>0</v>
      </c>
      <c r="AQ364" s="243">
        <v>500</v>
      </c>
      <c r="AR364" s="275"/>
      <c r="AS364" s="244">
        <f t="shared" si="342"/>
        <v>500</v>
      </c>
      <c r="AT364" s="103"/>
      <c r="AU364" s="103"/>
      <c r="AV364" s="103"/>
    </row>
    <row r="365" spans="1:48" ht="12.75" hidden="1">
      <c r="A365" s="21"/>
      <c r="B365" s="27">
        <v>4440</v>
      </c>
      <c r="C365" s="18" t="s">
        <v>50</v>
      </c>
      <c r="D365" s="104">
        <v>14123</v>
      </c>
      <c r="E365" s="106"/>
      <c r="F365" s="106">
        <f t="shared" si="349"/>
        <v>14123</v>
      </c>
      <c r="G365" s="109"/>
      <c r="H365" s="106">
        <f t="shared" si="349"/>
        <v>14123</v>
      </c>
      <c r="I365" s="109"/>
      <c r="J365" s="106">
        <f>H365+I365</f>
        <v>14123</v>
      </c>
      <c r="K365" s="110"/>
      <c r="L365" s="106">
        <f>H365+K365</f>
        <v>14123</v>
      </c>
      <c r="M365" s="109"/>
      <c r="N365" s="106">
        <f t="shared" si="352"/>
        <v>14123</v>
      </c>
      <c r="O365" s="106"/>
      <c r="P365" s="106">
        <f t="shared" si="352"/>
        <v>14123</v>
      </c>
      <c r="Q365" s="109"/>
      <c r="R365" s="106">
        <f t="shared" si="352"/>
        <v>14123</v>
      </c>
      <c r="S365" s="109"/>
      <c r="T365" s="106">
        <f t="shared" si="353"/>
        <v>14123</v>
      </c>
      <c r="U365" s="109"/>
      <c r="V365" s="106">
        <f t="shared" si="354"/>
        <v>14123</v>
      </c>
      <c r="W365" s="109"/>
      <c r="X365" s="106">
        <f t="shared" si="355"/>
        <v>14123</v>
      </c>
      <c r="Y365" s="109"/>
      <c r="Z365" s="106">
        <f t="shared" si="356"/>
        <v>14123</v>
      </c>
      <c r="AA365" s="109"/>
      <c r="AB365" s="106">
        <f t="shared" si="357"/>
        <v>14123</v>
      </c>
      <c r="AC365" s="109"/>
      <c r="AD365" s="106">
        <f t="shared" si="358"/>
        <v>14123</v>
      </c>
      <c r="AE365" s="109"/>
      <c r="AF365" s="106">
        <f t="shared" si="359"/>
        <v>14123</v>
      </c>
      <c r="AG365" s="147"/>
      <c r="AH365" s="106">
        <f t="shared" si="360"/>
        <v>14123</v>
      </c>
      <c r="AI365" s="109"/>
      <c r="AJ365" s="106">
        <f t="shared" si="361"/>
        <v>14123</v>
      </c>
      <c r="AK365" s="109"/>
      <c r="AL365" s="106">
        <f t="shared" si="362"/>
        <v>14123</v>
      </c>
      <c r="AM365" s="109"/>
      <c r="AN365" s="106">
        <f t="shared" si="363"/>
        <v>14123</v>
      </c>
      <c r="AO365" s="106">
        <v>13530</v>
      </c>
      <c r="AP365" s="113">
        <v>9750</v>
      </c>
      <c r="AQ365" s="243">
        <v>10000</v>
      </c>
      <c r="AR365" s="275"/>
      <c r="AS365" s="244">
        <f t="shared" si="342"/>
        <v>10000</v>
      </c>
      <c r="AT365" s="103"/>
      <c r="AU365" s="103"/>
      <c r="AV365" s="103"/>
    </row>
    <row r="366" spans="1:48" ht="25.5" hidden="1">
      <c r="A366" s="21"/>
      <c r="B366" s="27">
        <v>4700</v>
      </c>
      <c r="C366" s="18" t="s">
        <v>51</v>
      </c>
      <c r="D366" s="104">
        <v>2000</v>
      </c>
      <c r="E366" s="106"/>
      <c r="F366" s="106">
        <f t="shared" si="349"/>
        <v>2000</v>
      </c>
      <c r="G366" s="109"/>
      <c r="H366" s="106">
        <f t="shared" si="349"/>
        <v>2000</v>
      </c>
      <c r="I366" s="109"/>
      <c r="J366" s="106">
        <f>H366+I366</f>
        <v>2000</v>
      </c>
      <c r="K366" s="110"/>
      <c r="L366" s="106">
        <f>H366+K366</f>
        <v>2000</v>
      </c>
      <c r="M366" s="109"/>
      <c r="N366" s="106">
        <f t="shared" si="352"/>
        <v>2000</v>
      </c>
      <c r="O366" s="106"/>
      <c r="P366" s="106">
        <f t="shared" si="352"/>
        <v>2000</v>
      </c>
      <c r="Q366" s="109"/>
      <c r="R366" s="106">
        <f t="shared" si="352"/>
        <v>2000</v>
      </c>
      <c r="S366" s="109"/>
      <c r="T366" s="106">
        <f t="shared" si="353"/>
        <v>2000</v>
      </c>
      <c r="U366" s="109"/>
      <c r="V366" s="106">
        <f t="shared" si="354"/>
        <v>2000</v>
      </c>
      <c r="W366" s="109"/>
      <c r="X366" s="106">
        <f t="shared" si="355"/>
        <v>2000</v>
      </c>
      <c r="Y366" s="109"/>
      <c r="Z366" s="106">
        <f t="shared" si="356"/>
        <v>2000</v>
      </c>
      <c r="AA366" s="109"/>
      <c r="AB366" s="106">
        <f t="shared" si="357"/>
        <v>2000</v>
      </c>
      <c r="AC366" s="109"/>
      <c r="AD366" s="106">
        <f t="shared" si="358"/>
        <v>2000</v>
      </c>
      <c r="AE366" s="109"/>
      <c r="AF366" s="106">
        <f t="shared" si="359"/>
        <v>2000</v>
      </c>
      <c r="AG366" s="147"/>
      <c r="AH366" s="106">
        <f t="shared" si="360"/>
        <v>2000</v>
      </c>
      <c r="AI366" s="109"/>
      <c r="AJ366" s="106">
        <f t="shared" si="361"/>
        <v>2000</v>
      </c>
      <c r="AK366" s="109">
        <v>-500</v>
      </c>
      <c r="AL366" s="106">
        <f t="shared" si="362"/>
        <v>1500</v>
      </c>
      <c r="AM366" s="109"/>
      <c r="AN366" s="106">
        <f t="shared" si="363"/>
        <v>1500</v>
      </c>
      <c r="AO366" s="106">
        <v>758</v>
      </c>
      <c r="AP366" s="113">
        <v>970</v>
      </c>
      <c r="AQ366" s="243">
        <v>1500</v>
      </c>
      <c r="AR366" s="275"/>
      <c r="AS366" s="244">
        <f t="shared" si="342"/>
        <v>1500</v>
      </c>
      <c r="AT366" s="103"/>
      <c r="AU366" s="103"/>
      <c r="AV366" s="103"/>
    </row>
    <row r="367" spans="1:48" ht="25.5" hidden="1">
      <c r="A367" s="21"/>
      <c r="B367" s="27">
        <v>4740</v>
      </c>
      <c r="C367" s="18" t="s">
        <v>52</v>
      </c>
      <c r="D367" s="104">
        <v>3000</v>
      </c>
      <c r="E367" s="106"/>
      <c r="F367" s="106">
        <f t="shared" si="349"/>
        <v>3000</v>
      </c>
      <c r="G367" s="109"/>
      <c r="H367" s="106">
        <f t="shared" si="349"/>
        <v>3000</v>
      </c>
      <c r="I367" s="109"/>
      <c r="J367" s="106">
        <f>H367+I367</f>
        <v>3000</v>
      </c>
      <c r="K367" s="110"/>
      <c r="L367" s="106">
        <f>H367+K367</f>
        <v>3000</v>
      </c>
      <c r="M367" s="109"/>
      <c r="N367" s="106">
        <f t="shared" si="352"/>
        <v>3000</v>
      </c>
      <c r="O367" s="106"/>
      <c r="P367" s="106">
        <f t="shared" si="352"/>
        <v>3000</v>
      </c>
      <c r="Q367" s="109"/>
      <c r="R367" s="106">
        <f t="shared" si="352"/>
        <v>3000</v>
      </c>
      <c r="S367" s="109"/>
      <c r="T367" s="106">
        <f t="shared" si="353"/>
        <v>3000</v>
      </c>
      <c r="U367" s="109"/>
      <c r="V367" s="106">
        <f t="shared" si="354"/>
        <v>3000</v>
      </c>
      <c r="W367" s="109"/>
      <c r="X367" s="106">
        <f t="shared" si="355"/>
        <v>3000</v>
      </c>
      <c r="Y367" s="109"/>
      <c r="Z367" s="106">
        <f t="shared" si="356"/>
        <v>3000</v>
      </c>
      <c r="AA367" s="109"/>
      <c r="AB367" s="106">
        <f t="shared" si="357"/>
        <v>3000</v>
      </c>
      <c r="AC367" s="109"/>
      <c r="AD367" s="106">
        <f t="shared" si="358"/>
        <v>3000</v>
      </c>
      <c r="AE367" s="109"/>
      <c r="AF367" s="106">
        <f t="shared" si="359"/>
        <v>3000</v>
      </c>
      <c r="AG367" s="147"/>
      <c r="AH367" s="106">
        <f t="shared" si="360"/>
        <v>3000</v>
      </c>
      <c r="AI367" s="109"/>
      <c r="AJ367" s="106">
        <f t="shared" si="361"/>
        <v>3000</v>
      </c>
      <c r="AK367" s="109">
        <v>-2000</v>
      </c>
      <c r="AL367" s="106">
        <f t="shared" si="362"/>
        <v>1000</v>
      </c>
      <c r="AM367" s="109"/>
      <c r="AN367" s="106">
        <f t="shared" si="363"/>
        <v>1000</v>
      </c>
      <c r="AO367" s="106">
        <v>992</v>
      </c>
      <c r="AP367" s="113">
        <v>0</v>
      </c>
      <c r="AQ367" s="243">
        <v>1000</v>
      </c>
      <c r="AR367" s="275"/>
      <c r="AS367" s="244">
        <f t="shared" si="342"/>
        <v>1000</v>
      </c>
      <c r="AT367" s="103"/>
      <c r="AU367" s="103"/>
      <c r="AV367" s="103"/>
    </row>
    <row r="368" spans="1:48" ht="12.75" hidden="1">
      <c r="A368" s="21"/>
      <c r="B368" s="27">
        <v>4750</v>
      </c>
      <c r="C368" s="18" t="s">
        <v>53</v>
      </c>
      <c r="D368" s="104">
        <v>3000</v>
      </c>
      <c r="E368" s="106"/>
      <c r="F368" s="106">
        <f t="shared" si="349"/>
        <v>3000</v>
      </c>
      <c r="G368" s="109"/>
      <c r="H368" s="106">
        <f t="shared" si="349"/>
        <v>3000</v>
      </c>
      <c r="I368" s="109"/>
      <c r="J368" s="106">
        <f>H368+I368</f>
        <v>3000</v>
      </c>
      <c r="K368" s="110"/>
      <c r="L368" s="106">
        <f>H368+K368</f>
        <v>3000</v>
      </c>
      <c r="M368" s="109"/>
      <c r="N368" s="106">
        <f t="shared" si="352"/>
        <v>3000</v>
      </c>
      <c r="O368" s="106"/>
      <c r="P368" s="106">
        <f t="shared" si="352"/>
        <v>3000</v>
      </c>
      <c r="Q368" s="109"/>
      <c r="R368" s="106">
        <f t="shared" si="352"/>
        <v>3000</v>
      </c>
      <c r="S368" s="109"/>
      <c r="T368" s="106">
        <f t="shared" si="353"/>
        <v>3000</v>
      </c>
      <c r="U368" s="109"/>
      <c r="V368" s="106">
        <f t="shared" si="354"/>
        <v>3000</v>
      </c>
      <c r="W368" s="109"/>
      <c r="X368" s="106">
        <f t="shared" si="355"/>
        <v>3000</v>
      </c>
      <c r="Y368" s="109"/>
      <c r="Z368" s="106">
        <f t="shared" si="356"/>
        <v>3000</v>
      </c>
      <c r="AA368" s="109"/>
      <c r="AB368" s="106">
        <f t="shared" si="357"/>
        <v>3000</v>
      </c>
      <c r="AC368" s="109"/>
      <c r="AD368" s="106">
        <f t="shared" si="358"/>
        <v>3000</v>
      </c>
      <c r="AE368" s="109"/>
      <c r="AF368" s="106">
        <f t="shared" si="359"/>
        <v>3000</v>
      </c>
      <c r="AG368" s="147"/>
      <c r="AH368" s="106">
        <f t="shared" si="360"/>
        <v>3000</v>
      </c>
      <c r="AI368" s="109"/>
      <c r="AJ368" s="106">
        <f t="shared" si="361"/>
        <v>3000</v>
      </c>
      <c r="AK368" s="109">
        <v>4000</v>
      </c>
      <c r="AL368" s="106">
        <f t="shared" si="362"/>
        <v>7000</v>
      </c>
      <c r="AM368" s="109"/>
      <c r="AN368" s="106">
        <f t="shared" si="363"/>
        <v>7000</v>
      </c>
      <c r="AO368" s="106">
        <v>983</v>
      </c>
      <c r="AP368" s="113">
        <v>4509</v>
      </c>
      <c r="AQ368" s="243">
        <v>7000</v>
      </c>
      <c r="AR368" s="275"/>
      <c r="AS368" s="244">
        <f t="shared" si="342"/>
        <v>7000</v>
      </c>
      <c r="AT368" s="103"/>
      <c r="AU368" s="103"/>
      <c r="AV368" s="103"/>
    </row>
    <row r="369" spans="1:48" ht="12.75" hidden="1">
      <c r="A369" s="31">
        <v>85295</v>
      </c>
      <c r="B369" s="26"/>
      <c r="C369" s="19" t="s">
        <v>13</v>
      </c>
      <c r="D369" s="190">
        <f aca="true" t="shared" si="364" ref="D369:J369">SUM(D370:D371)</f>
        <v>65200</v>
      </c>
      <c r="E369" s="190">
        <f t="shared" si="364"/>
        <v>0</v>
      </c>
      <c r="F369" s="190">
        <f t="shared" si="364"/>
        <v>65200</v>
      </c>
      <c r="G369" s="190">
        <f t="shared" si="364"/>
        <v>0</v>
      </c>
      <c r="H369" s="190">
        <f t="shared" si="364"/>
        <v>65200</v>
      </c>
      <c r="I369" s="190">
        <f t="shared" si="364"/>
        <v>0</v>
      </c>
      <c r="J369" s="190">
        <f t="shared" si="364"/>
        <v>65200</v>
      </c>
      <c r="K369" s="110"/>
      <c r="L369" s="190">
        <f>SUM(L370:L371)</f>
        <v>65200</v>
      </c>
      <c r="M369" s="109"/>
      <c r="N369" s="190">
        <f>SUM(N370:N371)</f>
        <v>65200</v>
      </c>
      <c r="O369" s="190"/>
      <c r="P369" s="190">
        <f>SUM(P370:P371)</f>
        <v>65200</v>
      </c>
      <c r="Q369" s="109"/>
      <c r="R369" s="190">
        <f>SUM(R370:R371)</f>
        <v>65200</v>
      </c>
      <c r="S369" s="109"/>
      <c r="T369" s="190">
        <f aca="true" t="shared" si="365" ref="T369:Z369">SUM(T370:T371)</f>
        <v>65200</v>
      </c>
      <c r="U369" s="190">
        <f t="shared" si="365"/>
        <v>14033</v>
      </c>
      <c r="V369" s="190">
        <f t="shared" si="365"/>
        <v>79233</v>
      </c>
      <c r="W369" s="190">
        <f t="shared" si="365"/>
        <v>0</v>
      </c>
      <c r="X369" s="190">
        <f t="shared" si="365"/>
        <v>79233</v>
      </c>
      <c r="Y369" s="190">
        <f t="shared" si="365"/>
        <v>0</v>
      </c>
      <c r="Z369" s="190">
        <f t="shared" si="365"/>
        <v>79233</v>
      </c>
      <c r="AA369" s="190">
        <f aca="true" t="shared" si="366" ref="AA369:AF369">SUM(AA370:AA371)</f>
        <v>13000</v>
      </c>
      <c r="AB369" s="190">
        <f t="shared" si="366"/>
        <v>92233</v>
      </c>
      <c r="AC369" s="190">
        <f t="shared" si="366"/>
        <v>0</v>
      </c>
      <c r="AD369" s="190">
        <f t="shared" si="366"/>
        <v>92233</v>
      </c>
      <c r="AE369" s="190">
        <f t="shared" si="366"/>
        <v>14033</v>
      </c>
      <c r="AF369" s="190">
        <f t="shared" si="366"/>
        <v>106266</v>
      </c>
      <c r="AG369" s="191">
        <f aca="true" t="shared" si="367" ref="AG369:AL369">SUM(AG370:AG371)</f>
        <v>0</v>
      </c>
      <c r="AH369" s="190">
        <f t="shared" si="367"/>
        <v>106266</v>
      </c>
      <c r="AI369" s="190">
        <f t="shared" si="367"/>
        <v>0</v>
      </c>
      <c r="AJ369" s="190">
        <f t="shared" si="367"/>
        <v>106266</v>
      </c>
      <c r="AK369" s="190">
        <f t="shared" si="367"/>
        <v>0</v>
      </c>
      <c r="AL369" s="190">
        <f t="shared" si="367"/>
        <v>106266</v>
      </c>
      <c r="AM369" s="190">
        <f>SUM(AM370:AM371)</f>
        <v>0</v>
      </c>
      <c r="AN369" s="190">
        <f>SUM(AN370:AN371)</f>
        <v>106266</v>
      </c>
      <c r="AO369" s="190">
        <f>SUM(AO370:AO371)</f>
        <v>127960</v>
      </c>
      <c r="AP369" s="81">
        <f>SUM(AP370:AP371)</f>
        <v>52738</v>
      </c>
      <c r="AQ369" s="247">
        <f>SUM(AQ370:AQ371)</f>
        <v>53000</v>
      </c>
      <c r="AR369" s="274"/>
      <c r="AS369" s="244">
        <f t="shared" si="342"/>
        <v>53000</v>
      </c>
      <c r="AT369" s="103"/>
      <c r="AU369" s="103"/>
      <c r="AV369" s="103"/>
    </row>
    <row r="370" spans="1:48" s="13" customFormat="1" ht="22.5" hidden="1">
      <c r="A370" s="52"/>
      <c r="B370" s="27">
        <v>2820</v>
      </c>
      <c r="C370" s="44" t="s">
        <v>59</v>
      </c>
      <c r="D370" s="104">
        <v>3000</v>
      </c>
      <c r="E370" s="105"/>
      <c r="F370" s="106">
        <f t="shared" si="349"/>
        <v>3000</v>
      </c>
      <c r="G370" s="107"/>
      <c r="H370" s="106">
        <f t="shared" si="349"/>
        <v>3000</v>
      </c>
      <c r="I370" s="107"/>
      <c r="J370" s="106">
        <f>H370+I370</f>
        <v>3000</v>
      </c>
      <c r="K370" s="108"/>
      <c r="L370" s="106">
        <f>H370+K370</f>
        <v>3000</v>
      </c>
      <c r="M370" s="107"/>
      <c r="N370" s="106">
        <f>L370+M370</f>
        <v>3000</v>
      </c>
      <c r="O370" s="106"/>
      <c r="P370" s="106">
        <f>N370+O370</f>
        <v>3000</v>
      </c>
      <c r="Q370" s="107"/>
      <c r="R370" s="106">
        <f>P370+Q370</f>
        <v>3000</v>
      </c>
      <c r="S370" s="107"/>
      <c r="T370" s="106">
        <f>R370+S370</f>
        <v>3000</v>
      </c>
      <c r="U370" s="107"/>
      <c r="V370" s="106">
        <f>T370+U370</f>
        <v>3000</v>
      </c>
      <c r="W370" s="107"/>
      <c r="X370" s="106">
        <f>V370+W370</f>
        <v>3000</v>
      </c>
      <c r="Y370" s="107"/>
      <c r="Z370" s="106">
        <f>X370+Y370</f>
        <v>3000</v>
      </c>
      <c r="AA370" s="107"/>
      <c r="AB370" s="106">
        <f>Z370+AA370</f>
        <v>3000</v>
      </c>
      <c r="AC370" s="107"/>
      <c r="AD370" s="106">
        <f>AB370+AC370</f>
        <v>3000</v>
      </c>
      <c r="AE370" s="107"/>
      <c r="AF370" s="106">
        <f>AD370+AE370</f>
        <v>3000</v>
      </c>
      <c r="AG370" s="200"/>
      <c r="AH370" s="106">
        <f>AF370+AG370</f>
        <v>3000</v>
      </c>
      <c r="AI370" s="107"/>
      <c r="AJ370" s="106">
        <f>AH370+AI370</f>
        <v>3000</v>
      </c>
      <c r="AK370" s="107"/>
      <c r="AL370" s="106">
        <f>AJ370+AK370</f>
        <v>3000</v>
      </c>
      <c r="AM370" s="107"/>
      <c r="AN370" s="106">
        <f>AL370+AM370</f>
        <v>3000</v>
      </c>
      <c r="AO370" s="106">
        <f>AM370+AN370</f>
        <v>3000</v>
      </c>
      <c r="AP370" s="113">
        <v>3000</v>
      </c>
      <c r="AQ370" s="243">
        <v>3000</v>
      </c>
      <c r="AR370" s="275"/>
      <c r="AS370" s="244">
        <f t="shared" si="342"/>
        <v>3000</v>
      </c>
      <c r="AT370" s="103"/>
      <c r="AU370" s="103"/>
      <c r="AV370" s="103"/>
    </row>
    <row r="371" spans="1:48" ht="15" customHeight="1" hidden="1">
      <c r="A371" s="21"/>
      <c r="B371" s="27">
        <v>3110</v>
      </c>
      <c r="C371" s="18" t="s">
        <v>91</v>
      </c>
      <c r="D371" s="104">
        <v>62200</v>
      </c>
      <c r="E371" s="106"/>
      <c r="F371" s="106">
        <f t="shared" si="349"/>
        <v>62200</v>
      </c>
      <c r="G371" s="109">
        <v>0</v>
      </c>
      <c r="H371" s="106">
        <f t="shared" si="349"/>
        <v>62200</v>
      </c>
      <c r="I371" s="109">
        <v>0</v>
      </c>
      <c r="J371" s="106">
        <f>H371+I371</f>
        <v>62200</v>
      </c>
      <c r="K371" s="110"/>
      <c r="L371" s="106">
        <f>H371+K371</f>
        <v>62200</v>
      </c>
      <c r="M371" s="109"/>
      <c r="N371" s="106">
        <f>L371+M371</f>
        <v>62200</v>
      </c>
      <c r="O371" s="106"/>
      <c r="P371" s="106">
        <f>N371+O371</f>
        <v>62200</v>
      </c>
      <c r="Q371" s="109"/>
      <c r="R371" s="106">
        <f>P371+Q371</f>
        <v>62200</v>
      </c>
      <c r="S371" s="109"/>
      <c r="T371" s="106">
        <f>R371+S371</f>
        <v>62200</v>
      </c>
      <c r="U371" s="109">
        <v>14033</v>
      </c>
      <c r="V371" s="106">
        <f>T371+U371</f>
        <v>76233</v>
      </c>
      <c r="W371" s="109"/>
      <c r="X371" s="106">
        <f>V371+W371</f>
        <v>76233</v>
      </c>
      <c r="Y371" s="109"/>
      <c r="Z371" s="106">
        <f>X371+Y371</f>
        <v>76233</v>
      </c>
      <c r="AA371" s="109">
        <v>13000</v>
      </c>
      <c r="AB371" s="106">
        <f>Z371+AA371</f>
        <v>89233</v>
      </c>
      <c r="AC371" s="109"/>
      <c r="AD371" s="106">
        <f>AB371+AC371</f>
        <v>89233</v>
      </c>
      <c r="AE371" s="109">
        <v>14033</v>
      </c>
      <c r="AF371" s="106">
        <f>AD371+AE371</f>
        <v>103266</v>
      </c>
      <c r="AG371" s="147"/>
      <c r="AH371" s="106">
        <f>AF371+AG371</f>
        <v>103266</v>
      </c>
      <c r="AI371" s="109"/>
      <c r="AJ371" s="106">
        <f>AH371+AI371</f>
        <v>103266</v>
      </c>
      <c r="AK371" s="109"/>
      <c r="AL371" s="106">
        <f>AJ371+AK371</f>
        <v>103266</v>
      </c>
      <c r="AM371" s="109"/>
      <c r="AN371" s="106">
        <f>AL371+AM371</f>
        <v>103266</v>
      </c>
      <c r="AO371" s="106">
        <v>124960</v>
      </c>
      <c r="AP371" s="220">
        <f>45188+4550</f>
        <v>49738</v>
      </c>
      <c r="AQ371" s="243">
        <f>35000+15000</f>
        <v>50000</v>
      </c>
      <c r="AR371" s="275"/>
      <c r="AS371" s="244">
        <f t="shared" si="342"/>
        <v>50000</v>
      </c>
      <c r="AT371" s="157" t="s">
        <v>198</v>
      </c>
      <c r="AU371" s="103"/>
      <c r="AV371" s="103"/>
    </row>
    <row r="372" spans="1:48" ht="12.75" hidden="1">
      <c r="A372" s="218">
        <v>854</v>
      </c>
      <c r="B372" s="187"/>
      <c r="C372" s="188" t="s">
        <v>94</v>
      </c>
      <c r="D372" s="189">
        <f>SUM(D373+D390)</f>
        <v>194700</v>
      </c>
      <c r="E372" s="189">
        <f aca="true" t="shared" si="368" ref="E372:J372">SUM(E373)</f>
        <v>0</v>
      </c>
      <c r="F372" s="189">
        <f t="shared" si="368"/>
        <v>194700</v>
      </c>
      <c r="G372" s="189">
        <f t="shared" si="368"/>
        <v>0</v>
      </c>
      <c r="H372" s="189">
        <f t="shared" si="368"/>
        <v>194700</v>
      </c>
      <c r="I372" s="189">
        <f t="shared" si="368"/>
        <v>0</v>
      </c>
      <c r="J372" s="189">
        <f t="shared" si="368"/>
        <v>194700</v>
      </c>
      <c r="K372" s="110"/>
      <c r="L372" s="189">
        <f>SUM(L373)</f>
        <v>194700</v>
      </c>
      <c r="M372" s="189">
        <f>SUM(M373+M390)</f>
        <v>112031</v>
      </c>
      <c r="N372" s="189">
        <f>SUM(N373+N390)</f>
        <v>306731</v>
      </c>
      <c r="O372" s="189"/>
      <c r="P372" s="189">
        <f aca="true" t="shared" si="369" ref="P372:V372">SUM(P373+P390)</f>
        <v>306731</v>
      </c>
      <c r="Q372" s="189">
        <f t="shared" si="369"/>
        <v>0</v>
      </c>
      <c r="R372" s="189">
        <f t="shared" si="369"/>
        <v>306731</v>
      </c>
      <c r="S372" s="189">
        <f t="shared" si="369"/>
        <v>0</v>
      </c>
      <c r="T372" s="189">
        <f t="shared" si="369"/>
        <v>306731</v>
      </c>
      <c r="U372" s="189">
        <f t="shared" si="369"/>
        <v>0</v>
      </c>
      <c r="V372" s="189">
        <f t="shared" si="369"/>
        <v>306731</v>
      </c>
      <c r="W372" s="189">
        <f aca="true" t="shared" si="370" ref="W372:AB372">SUM(W373+W390)</f>
        <v>0</v>
      </c>
      <c r="X372" s="189">
        <f t="shared" si="370"/>
        <v>306731</v>
      </c>
      <c r="Y372" s="189">
        <f t="shared" si="370"/>
        <v>0</v>
      </c>
      <c r="Z372" s="189">
        <f t="shared" si="370"/>
        <v>306731</v>
      </c>
      <c r="AA372" s="189">
        <f t="shared" si="370"/>
        <v>26990</v>
      </c>
      <c r="AB372" s="189">
        <f t="shared" si="370"/>
        <v>333721</v>
      </c>
      <c r="AC372" s="189">
        <f aca="true" t="shared" si="371" ref="AC372:AH372">SUM(AC373+AC390)</f>
        <v>0</v>
      </c>
      <c r="AD372" s="189">
        <f t="shared" si="371"/>
        <v>333721</v>
      </c>
      <c r="AE372" s="189">
        <f t="shared" si="371"/>
        <v>0</v>
      </c>
      <c r="AF372" s="189">
        <f t="shared" si="371"/>
        <v>333721</v>
      </c>
      <c r="AG372" s="197">
        <f t="shared" si="371"/>
        <v>0</v>
      </c>
      <c r="AH372" s="189">
        <f t="shared" si="371"/>
        <v>333721</v>
      </c>
      <c r="AI372" s="189">
        <f aca="true" t="shared" si="372" ref="AI372:AQ372">SUM(AI373+AI390)</f>
        <v>0</v>
      </c>
      <c r="AJ372" s="189">
        <f t="shared" si="372"/>
        <v>333721</v>
      </c>
      <c r="AK372" s="189">
        <f t="shared" si="372"/>
        <v>-1400</v>
      </c>
      <c r="AL372" s="189">
        <f t="shared" si="372"/>
        <v>332321</v>
      </c>
      <c r="AM372" s="189">
        <f t="shared" si="372"/>
        <v>0</v>
      </c>
      <c r="AN372" s="189">
        <f t="shared" si="372"/>
        <v>332321</v>
      </c>
      <c r="AO372" s="189">
        <f t="shared" si="372"/>
        <v>429942</v>
      </c>
      <c r="AP372" s="221">
        <f t="shared" si="372"/>
        <v>229555</v>
      </c>
      <c r="AQ372" s="249">
        <f t="shared" si="372"/>
        <v>205152</v>
      </c>
      <c r="AR372" s="276"/>
      <c r="AS372" s="244">
        <f t="shared" si="342"/>
        <v>205152</v>
      </c>
      <c r="AT372" s="103">
        <f aca="true" t="shared" si="373" ref="AT372:AT404">AN372-(AP372/3*4)</f>
        <v>26247.666666666686</v>
      </c>
      <c r="AU372" s="103"/>
      <c r="AV372" s="103"/>
    </row>
    <row r="373" spans="1:50" ht="12.75" hidden="1">
      <c r="A373" s="31">
        <v>85401</v>
      </c>
      <c r="B373" s="26"/>
      <c r="C373" s="19" t="s">
        <v>95</v>
      </c>
      <c r="D373" s="190">
        <f aca="true" t="shared" si="374" ref="D373:J373">SUM(D374:D389)</f>
        <v>194700</v>
      </c>
      <c r="E373" s="190">
        <f t="shared" si="374"/>
        <v>0</v>
      </c>
      <c r="F373" s="190">
        <f t="shared" si="374"/>
        <v>194700</v>
      </c>
      <c r="G373" s="190">
        <f t="shared" si="374"/>
        <v>0</v>
      </c>
      <c r="H373" s="190">
        <f t="shared" si="374"/>
        <v>194700</v>
      </c>
      <c r="I373" s="190">
        <f t="shared" si="374"/>
        <v>0</v>
      </c>
      <c r="J373" s="190">
        <f t="shared" si="374"/>
        <v>194700</v>
      </c>
      <c r="K373" s="110"/>
      <c r="L373" s="190">
        <f>SUM(L374:L389)</f>
        <v>194700</v>
      </c>
      <c r="M373" s="190">
        <f>SUM(M374:M389)</f>
        <v>0</v>
      </c>
      <c r="N373" s="190">
        <f>SUM(N374:N389)</f>
        <v>194700</v>
      </c>
      <c r="O373" s="190"/>
      <c r="P373" s="190">
        <f aca="true" t="shared" si="375" ref="P373:V373">SUM(P374:P389)</f>
        <v>194700</v>
      </c>
      <c r="Q373" s="190">
        <f t="shared" si="375"/>
        <v>0</v>
      </c>
      <c r="R373" s="190">
        <f t="shared" si="375"/>
        <v>194700</v>
      </c>
      <c r="S373" s="190">
        <f t="shared" si="375"/>
        <v>0</v>
      </c>
      <c r="T373" s="190">
        <f t="shared" si="375"/>
        <v>194700</v>
      </c>
      <c r="U373" s="190">
        <f t="shared" si="375"/>
        <v>0</v>
      </c>
      <c r="V373" s="190">
        <f t="shared" si="375"/>
        <v>194700</v>
      </c>
      <c r="W373" s="190">
        <f aca="true" t="shared" si="376" ref="W373:AB373">SUM(W374:W389)</f>
        <v>0</v>
      </c>
      <c r="X373" s="190">
        <f t="shared" si="376"/>
        <v>194700</v>
      </c>
      <c r="Y373" s="190">
        <f t="shared" si="376"/>
        <v>0</v>
      </c>
      <c r="Z373" s="190">
        <f t="shared" si="376"/>
        <v>194700</v>
      </c>
      <c r="AA373" s="190">
        <f t="shared" si="376"/>
        <v>0</v>
      </c>
      <c r="AB373" s="190">
        <f t="shared" si="376"/>
        <v>194700</v>
      </c>
      <c r="AC373" s="190">
        <f aca="true" t="shared" si="377" ref="AC373:AH373">SUM(AC374:AC389)</f>
        <v>0</v>
      </c>
      <c r="AD373" s="190">
        <f t="shared" si="377"/>
        <v>194700</v>
      </c>
      <c r="AE373" s="190">
        <f t="shared" si="377"/>
        <v>0</v>
      </c>
      <c r="AF373" s="190">
        <f t="shared" si="377"/>
        <v>194700</v>
      </c>
      <c r="AG373" s="191">
        <f t="shared" si="377"/>
        <v>0</v>
      </c>
      <c r="AH373" s="190">
        <f t="shared" si="377"/>
        <v>194700</v>
      </c>
      <c r="AI373" s="190">
        <f aca="true" t="shared" si="378" ref="AI373:AN373">SUM(AI374:AI389)</f>
        <v>0</v>
      </c>
      <c r="AJ373" s="190">
        <f t="shared" si="378"/>
        <v>194700</v>
      </c>
      <c r="AK373" s="190">
        <f t="shared" si="378"/>
        <v>-1400</v>
      </c>
      <c r="AL373" s="190">
        <f t="shared" si="378"/>
        <v>193300</v>
      </c>
      <c r="AM373" s="190">
        <f t="shared" si="378"/>
        <v>0</v>
      </c>
      <c r="AN373" s="190">
        <f t="shared" si="378"/>
        <v>193300</v>
      </c>
      <c r="AO373" s="190">
        <f>SUM(AO374:AO389)</f>
        <v>157069</v>
      </c>
      <c r="AP373" s="81">
        <f>SUM(AP374:AP389)</f>
        <v>119509</v>
      </c>
      <c r="AQ373" s="247">
        <f>SUM(AQ374:AQ389)</f>
        <v>205152</v>
      </c>
      <c r="AR373" s="274"/>
      <c r="AS373" s="244">
        <f t="shared" si="342"/>
        <v>205152</v>
      </c>
      <c r="AT373" s="103">
        <f t="shared" si="373"/>
        <v>33954.66666666666</v>
      </c>
      <c r="AU373" s="103"/>
      <c r="AV373" s="103"/>
      <c r="AX373" s="15">
        <f>157069-AO373</f>
        <v>0</v>
      </c>
    </row>
    <row r="374" spans="1:48" ht="12.75" hidden="1">
      <c r="A374" s="21"/>
      <c r="B374" s="27">
        <v>3020</v>
      </c>
      <c r="C374" s="18" t="s">
        <v>73</v>
      </c>
      <c r="D374" s="104">
        <v>11302</v>
      </c>
      <c r="E374" s="106"/>
      <c r="F374" s="106">
        <f aca="true" t="shared" si="379" ref="F374:F381">E374+D374</f>
        <v>11302</v>
      </c>
      <c r="G374" s="109"/>
      <c r="H374" s="106">
        <f aca="true" t="shared" si="380" ref="H374:H389">G374+F374</f>
        <v>11302</v>
      </c>
      <c r="I374" s="109"/>
      <c r="J374" s="106">
        <f aca="true" t="shared" si="381" ref="J374:J389">I374+H374</f>
        <v>11302</v>
      </c>
      <c r="K374" s="110"/>
      <c r="L374" s="106">
        <f aca="true" t="shared" si="382" ref="L374:L389">K374+H374</f>
        <v>11302</v>
      </c>
      <c r="M374" s="109"/>
      <c r="N374" s="106">
        <f aca="true" t="shared" si="383" ref="N374:R389">M374+L374</f>
        <v>11302</v>
      </c>
      <c r="O374" s="106"/>
      <c r="P374" s="106">
        <f t="shared" si="383"/>
        <v>11302</v>
      </c>
      <c r="Q374" s="109"/>
      <c r="R374" s="106">
        <f t="shared" si="383"/>
        <v>11302</v>
      </c>
      <c r="S374" s="109"/>
      <c r="T374" s="106">
        <f aca="true" t="shared" si="384" ref="T374:T389">S374+R374</f>
        <v>11302</v>
      </c>
      <c r="U374" s="202">
        <v>0</v>
      </c>
      <c r="V374" s="106">
        <f aca="true" t="shared" si="385" ref="V374:V389">U374+T374</f>
        <v>11302</v>
      </c>
      <c r="W374" s="202">
        <v>0</v>
      </c>
      <c r="X374" s="106">
        <f aca="true" t="shared" si="386" ref="X374:X389">W374+V374</f>
        <v>11302</v>
      </c>
      <c r="Y374" s="202">
        <v>0</v>
      </c>
      <c r="Z374" s="106">
        <f aca="true" t="shared" si="387" ref="Z374:Z389">Y374+X374</f>
        <v>11302</v>
      </c>
      <c r="AA374" s="202">
        <v>0</v>
      </c>
      <c r="AB374" s="106">
        <f aca="true" t="shared" si="388" ref="AB374:AB389">AA374+Z374</f>
        <v>11302</v>
      </c>
      <c r="AC374" s="172">
        <v>0</v>
      </c>
      <c r="AD374" s="106">
        <f aca="true" t="shared" si="389" ref="AD374:AD389">AC374+AB374</f>
        <v>11302</v>
      </c>
      <c r="AE374" s="172">
        <v>0</v>
      </c>
      <c r="AF374" s="106">
        <f aca="true" t="shared" si="390" ref="AF374:AF389">AE374+AD374</f>
        <v>11302</v>
      </c>
      <c r="AG374" s="198">
        <v>0</v>
      </c>
      <c r="AH374" s="106">
        <f aca="true" t="shared" si="391" ref="AH374:AH389">AG374+AF374</f>
        <v>11302</v>
      </c>
      <c r="AI374" s="172">
        <v>0</v>
      </c>
      <c r="AJ374" s="106">
        <f aca="true" t="shared" si="392" ref="AJ374:AJ389">AI374+AH374</f>
        <v>11302</v>
      </c>
      <c r="AK374" s="172">
        <v>0</v>
      </c>
      <c r="AL374" s="106">
        <f aca="true" t="shared" si="393" ref="AL374:AL389">AK374+AJ374</f>
        <v>11302</v>
      </c>
      <c r="AM374" s="172">
        <v>0</v>
      </c>
      <c r="AN374" s="106">
        <f aca="true" t="shared" si="394" ref="AN374:AN389">AM374+AL374</f>
        <v>11302</v>
      </c>
      <c r="AO374" s="106">
        <v>8878</v>
      </c>
      <c r="AP374" s="113">
        <v>8359</v>
      </c>
      <c r="AQ374" s="243">
        <f>21591-10000</f>
        <v>11591</v>
      </c>
      <c r="AR374" s="275"/>
      <c r="AS374" s="244">
        <f t="shared" si="342"/>
        <v>11591</v>
      </c>
      <c r="AT374" s="103">
        <f t="shared" si="373"/>
        <v>156.66666666666606</v>
      </c>
      <c r="AU374" s="103"/>
      <c r="AV374" s="103"/>
    </row>
    <row r="375" spans="1:48" ht="12.75" hidden="1">
      <c r="A375" s="21"/>
      <c r="B375" s="27">
        <v>4010</v>
      </c>
      <c r="C375" s="18" t="s">
        <v>37</v>
      </c>
      <c r="D375" s="104">
        <v>127066</v>
      </c>
      <c r="E375" s="106"/>
      <c r="F375" s="106">
        <f t="shared" si="379"/>
        <v>127066</v>
      </c>
      <c r="G375" s="109"/>
      <c r="H375" s="106">
        <f t="shared" si="380"/>
        <v>127066</v>
      </c>
      <c r="I375" s="109"/>
      <c r="J375" s="106">
        <f t="shared" si="381"/>
        <v>127066</v>
      </c>
      <c r="K375" s="110"/>
      <c r="L375" s="106">
        <f t="shared" si="382"/>
        <v>127066</v>
      </c>
      <c r="M375" s="109"/>
      <c r="N375" s="106">
        <f t="shared" si="383"/>
        <v>127066</v>
      </c>
      <c r="O375" s="106"/>
      <c r="P375" s="106">
        <f t="shared" si="383"/>
        <v>127066</v>
      </c>
      <c r="Q375" s="109"/>
      <c r="R375" s="106">
        <f t="shared" si="383"/>
        <v>127066</v>
      </c>
      <c r="S375" s="109"/>
      <c r="T375" s="106">
        <f t="shared" si="384"/>
        <v>127066</v>
      </c>
      <c r="U375" s="202">
        <v>0</v>
      </c>
      <c r="V375" s="106">
        <f t="shared" si="385"/>
        <v>127066</v>
      </c>
      <c r="W375" s="202">
        <v>0</v>
      </c>
      <c r="X375" s="106">
        <f t="shared" si="386"/>
        <v>127066</v>
      </c>
      <c r="Y375" s="202">
        <v>0</v>
      </c>
      <c r="Z375" s="106">
        <f t="shared" si="387"/>
        <v>127066</v>
      </c>
      <c r="AA375" s="202">
        <v>0</v>
      </c>
      <c r="AB375" s="106">
        <f t="shared" si="388"/>
        <v>127066</v>
      </c>
      <c r="AC375" s="172">
        <v>0</v>
      </c>
      <c r="AD375" s="106">
        <f t="shared" si="389"/>
        <v>127066</v>
      </c>
      <c r="AE375" s="172">
        <v>0</v>
      </c>
      <c r="AF375" s="106">
        <f t="shared" si="390"/>
        <v>127066</v>
      </c>
      <c r="AG375" s="198">
        <v>0</v>
      </c>
      <c r="AH375" s="106">
        <f t="shared" si="391"/>
        <v>127066</v>
      </c>
      <c r="AI375" s="172">
        <v>0</v>
      </c>
      <c r="AJ375" s="106">
        <f t="shared" si="392"/>
        <v>127066</v>
      </c>
      <c r="AK375" s="172">
        <v>2600</v>
      </c>
      <c r="AL375" s="106">
        <f t="shared" si="393"/>
        <v>129666</v>
      </c>
      <c r="AM375" s="172"/>
      <c r="AN375" s="106">
        <f t="shared" si="394"/>
        <v>129666</v>
      </c>
      <c r="AO375" s="106">
        <v>102640</v>
      </c>
      <c r="AP375" s="113">
        <v>83327</v>
      </c>
      <c r="AQ375" s="243">
        <v>130963</v>
      </c>
      <c r="AR375" s="275"/>
      <c r="AS375" s="244">
        <f t="shared" si="342"/>
        <v>130963</v>
      </c>
      <c r="AT375" s="103">
        <f t="shared" si="373"/>
        <v>18563.33333333333</v>
      </c>
      <c r="AU375" s="103">
        <f>129666*101%</f>
        <v>130962.66</v>
      </c>
      <c r="AV375" s="103"/>
    </row>
    <row r="376" spans="1:48" ht="12.75" hidden="1">
      <c r="A376" s="21"/>
      <c r="B376" s="27">
        <v>4040</v>
      </c>
      <c r="C376" s="18" t="s">
        <v>38</v>
      </c>
      <c r="D376" s="104">
        <v>6480</v>
      </c>
      <c r="E376" s="106"/>
      <c r="F376" s="106">
        <f t="shared" si="379"/>
        <v>6480</v>
      </c>
      <c r="G376" s="109"/>
      <c r="H376" s="106">
        <f t="shared" si="380"/>
        <v>6480</v>
      </c>
      <c r="I376" s="109"/>
      <c r="J376" s="106">
        <f t="shared" si="381"/>
        <v>6480</v>
      </c>
      <c r="K376" s="110"/>
      <c r="L376" s="106">
        <f t="shared" si="382"/>
        <v>6480</v>
      </c>
      <c r="M376" s="109"/>
      <c r="N376" s="106">
        <f t="shared" si="383"/>
        <v>6480</v>
      </c>
      <c r="O376" s="106"/>
      <c r="P376" s="106">
        <f t="shared" si="383"/>
        <v>6480</v>
      </c>
      <c r="Q376" s="109"/>
      <c r="R376" s="106">
        <f t="shared" si="383"/>
        <v>6480</v>
      </c>
      <c r="S376" s="109"/>
      <c r="T376" s="106">
        <f t="shared" si="384"/>
        <v>6480</v>
      </c>
      <c r="U376" s="202"/>
      <c r="V376" s="106">
        <f t="shared" si="385"/>
        <v>6480</v>
      </c>
      <c r="W376" s="202"/>
      <c r="X376" s="106">
        <f t="shared" si="386"/>
        <v>6480</v>
      </c>
      <c r="Y376" s="202"/>
      <c r="Z376" s="106">
        <f t="shared" si="387"/>
        <v>6480</v>
      </c>
      <c r="AA376" s="202"/>
      <c r="AB376" s="106">
        <f t="shared" si="388"/>
        <v>6480</v>
      </c>
      <c r="AC376" s="172"/>
      <c r="AD376" s="106">
        <f t="shared" si="389"/>
        <v>6480</v>
      </c>
      <c r="AE376" s="172"/>
      <c r="AF376" s="106">
        <f t="shared" si="390"/>
        <v>6480</v>
      </c>
      <c r="AG376" s="198"/>
      <c r="AH376" s="106">
        <f t="shared" si="391"/>
        <v>6480</v>
      </c>
      <c r="AI376" s="172"/>
      <c r="AJ376" s="106">
        <f t="shared" si="392"/>
        <v>6480</v>
      </c>
      <c r="AK376" s="172"/>
      <c r="AL376" s="106">
        <f t="shared" si="393"/>
        <v>6480</v>
      </c>
      <c r="AM376" s="172"/>
      <c r="AN376" s="106">
        <f t="shared" si="394"/>
        <v>6480</v>
      </c>
      <c r="AO376" s="106">
        <v>3030</v>
      </c>
      <c r="AP376" s="113">
        <v>5826</v>
      </c>
      <c r="AQ376" s="243">
        <v>8244</v>
      </c>
      <c r="AR376" s="275"/>
      <c r="AS376" s="244">
        <f t="shared" si="342"/>
        <v>8244</v>
      </c>
      <c r="AT376" s="103">
        <f t="shared" si="373"/>
        <v>-1288</v>
      </c>
      <c r="AU376" s="103"/>
      <c r="AV376" s="103"/>
    </row>
    <row r="377" spans="1:48" ht="12.75" hidden="1">
      <c r="A377" s="21"/>
      <c r="B377" s="27">
        <v>4110</v>
      </c>
      <c r="C377" s="18" t="s">
        <v>39</v>
      </c>
      <c r="D377" s="104">
        <v>21970</v>
      </c>
      <c r="E377" s="106"/>
      <c r="F377" s="106">
        <f t="shared" si="379"/>
        <v>21970</v>
      </c>
      <c r="G377" s="109"/>
      <c r="H377" s="106">
        <f t="shared" si="380"/>
        <v>21970</v>
      </c>
      <c r="I377" s="109"/>
      <c r="J377" s="106">
        <f t="shared" si="381"/>
        <v>21970</v>
      </c>
      <c r="K377" s="110"/>
      <c r="L377" s="106">
        <f t="shared" si="382"/>
        <v>21970</v>
      </c>
      <c r="M377" s="109"/>
      <c r="N377" s="106">
        <f t="shared" si="383"/>
        <v>21970</v>
      </c>
      <c r="O377" s="106"/>
      <c r="P377" s="106">
        <f t="shared" si="383"/>
        <v>21970</v>
      </c>
      <c r="Q377" s="109"/>
      <c r="R377" s="106">
        <f t="shared" si="383"/>
        <v>21970</v>
      </c>
      <c r="S377" s="109"/>
      <c r="T377" s="106">
        <f t="shared" si="384"/>
        <v>21970</v>
      </c>
      <c r="U377" s="202">
        <v>0</v>
      </c>
      <c r="V377" s="106">
        <f t="shared" si="385"/>
        <v>21970</v>
      </c>
      <c r="W377" s="202">
        <v>0</v>
      </c>
      <c r="X377" s="106">
        <f t="shared" si="386"/>
        <v>21970</v>
      </c>
      <c r="Y377" s="202">
        <v>0</v>
      </c>
      <c r="Z377" s="106">
        <f t="shared" si="387"/>
        <v>21970</v>
      </c>
      <c r="AA377" s="202">
        <v>0</v>
      </c>
      <c r="AB377" s="106">
        <f t="shared" si="388"/>
        <v>21970</v>
      </c>
      <c r="AC377" s="172">
        <v>0</v>
      </c>
      <c r="AD377" s="106">
        <f t="shared" si="389"/>
        <v>21970</v>
      </c>
      <c r="AE377" s="172">
        <v>0</v>
      </c>
      <c r="AF377" s="106">
        <f t="shared" si="390"/>
        <v>21970</v>
      </c>
      <c r="AG377" s="198">
        <v>0</v>
      </c>
      <c r="AH377" s="106">
        <f t="shared" si="391"/>
        <v>21970</v>
      </c>
      <c r="AI377" s="172">
        <v>0</v>
      </c>
      <c r="AJ377" s="106">
        <f t="shared" si="392"/>
        <v>21970</v>
      </c>
      <c r="AK377" s="172">
        <v>0</v>
      </c>
      <c r="AL377" s="106">
        <f t="shared" si="393"/>
        <v>21970</v>
      </c>
      <c r="AM377" s="172"/>
      <c r="AN377" s="106">
        <f t="shared" si="394"/>
        <v>21970</v>
      </c>
      <c r="AO377" s="106">
        <v>17304</v>
      </c>
      <c r="AP377" s="113">
        <v>13482</v>
      </c>
      <c r="AQ377" s="243">
        <f>33654-5000</f>
        <v>28654</v>
      </c>
      <c r="AR377" s="275"/>
      <c r="AS377" s="244">
        <f t="shared" si="342"/>
        <v>28654</v>
      </c>
      <c r="AT377" s="103">
        <f t="shared" si="373"/>
        <v>3994</v>
      </c>
      <c r="AU377" s="103"/>
      <c r="AV377" s="103"/>
    </row>
    <row r="378" spans="1:48" ht="12.75" hidden="1">
      <c r="A378" s="21"/>
      <c r="B378" s="27">
        <v>4120</v>
      </c>
      <c r="C378" s="18" t="s">
        <v>40</v>
      </c>
      <c r="D378" s="104">
        <v>3537</v>
      </c>
      <c r="E378" s="106"/>
      <c r="F378" s="106">
        <f t="shared" si="379"/>
        <v>3537</v>
      </c>
      <c r="G378" s="109"/>
      <c r="H378" s="106">
        <f t="shared" si="380"/>
        <v>3537</v>
      </c>
      <c r="I378" s="109"/>
      <c r="J378" s="106">
        <f t="shared" si="381"/>
        <v>3537</v>
      </c>
      <c r="K378" s="110"/>
      <c r="L378" s="106">
        <f t="shared" si="382"/>
        <v>3537</v>
      </c>
      <c r="M378" s="109"/>
      <c r="N378" s="106">
        <f t="shared" si="383"/>
        <v>3537</v>
      </c>
      <c r="O378" s="106"/>
      <c r="P378" s="106">
        <f t="shared" si="383"/>
        <v>3537</v>
      </c>
      <c r="Q378" s="109"/>
      <c r="R378" s="106">
        <f t="shared" si="383"/>
        <v>3537</v>
      </c>
      <c r="S378" s="109"/>
      <c r="T378" s="106">
        <f t="shared" si="384"/>
        <v>3537</v>
      </c>
      <c r="U378" s="109"/>
      <c r="V378" s="106">
        <f t="shared" si="385"/>
        <v>3537</v>
      </c>
      <c r="W378" s="109"/>
      <c r="X378" s="106">
        <f t="shared" si="386"/>
        <v>3537</v>
      </c>
      <c r="Y378" s="109"/>
      <c r="Z378" s="106">
        <f t="shared" si="387"/>
        <v>3537</v>
      </c>
      <c r="AA378" s="109"/>
      <c r="AB378" s="106">
        <f t="shared" si="388"/>
        <v>3537</v>
      </c>
      <c r="AC378" s="172"/>
      <c r="AD378" s="106">
        <f t="shared" si="389"/>
        <v>3537</v>
      </c>
      <c r="AE378" s="172"/>
      <c r="AF378" s="106">
        <f t="shared" si="390"/>
        <v>3537</v>
      </c>
      <c r="AG378" s="198"/>
      <c r="AH378" s="106">
        <f t="shared" si="391"/>
        <v>3537</v>
      </c>
      <c r="AI378" s="172"/>
      <c r="AJ378" s="106">
        <f t="shared" si="392"/>
        <v>3537</v>
      </c>
      <c r="AK378" s="172"/>
      <c r="AL378" s="106">
        <f t="shared" si="393"/>
        <v>3537</v>
      </c>
      <c r="AM378" s="172"/>
      <c r="AN378" s="106">
        <f t="shared" si="394"/>
        <v>3537</v>
      </c>
      <c r="AO378" s="106">
        <v>2776</v>
      </c>
      <c r="AP378" s="113">
        <v>2172</v>
      </c>
      <c r="AQ378" s="243">
        <f>5467-850</f>
        <v>4617</v>
      </c>
      <c r="AR378" s="275"/>
      <c r="AS378" s="244">
        <f t="shared" si="342"/>
        <v>4617</v>
      </c>
      <c r="AT378" s="103">
        <f t="shared" si="373"/>
        <v>641</v>
      </c>
      <c r="AU378" s="103"/>
      <c r="AV378" s="103"/>
    </row>
    <row r="379" spans="1:48" ht="12.75" hidden="1">
      <c r="A379" s="21"/>
      <c r="B379" s="27">
        <v>4170</v>
      </c>
      <c r="C379" s="18" t="s">
        <v>42</v>
      </c>
      <c r="D379" s="104">
        <v>3000</v>
      </c>
      <c r="E379" s="106"/>
      <c r="F379" s="106">
        <f t="shared" si="379"/>
        <v>3000</v>
      </c>
      <c r="G379" s="109"/>
      <c r="H379" s="106">
        <f t="shared" si="380"/>
        <v>3000</v>
      </c>
      <c r="I379" s="109"/>
      <c r="J379" s="106">
        <f t="shared" si="381"/>
        <v>3000</v>
      </c>
      <c r="K379" s="110"/>
      <c r="L379" s="106">
        <f t="shared" si="382"/>
        <v>3000</v>
      </c>
      <c r="M379" s="109"/>
      <c r="N379" s="106">
        <f t="shared" si="383"/>
        <v>3000</v>
      </c>
      <c r="O379" s="106"/>
      <c r="P379" s="106">
        <f t="shared" si="383"/>
        <v>3000</v>
      </c>
      <c r="Q379" s="109"/>
      <c r="R379" s="106">
        <f t="shared" si="383"/>
        <v>3000</v>
      </c>
      <c r="S379" s="109"/>
      <c r="T379" s="106">
        <f t="shared" si="384"/>
        <v>3000</v>
      </c>
      <c r="U379" s="109"/>
      <c r="V379" s="106">
        <f t="shared" si="385"/>
        <v>3000</v>
      </c>
      <c r="W379" s="109"/>
      <c r="X379" s="106">
        <f t="shared" si="386"/>
        <v>3000</v>
      </c>
      <c r="Y379" s="109"/>
      <c r="Z379" s="106">
        <f t="shared" si="387"/>
        <v>3000</v>
      </c>
      <c r="AA379" s="109"/>
      <c r="AB379" s="106">
        <f t="shared" si="388"/>
        <v>3000</v>
      </c>
      <c r="AC379" s="172"/>
      <c r="AD379" s="106">
        <f t="shared" si="389"/>
        <v>3000</v>
      </c>
      <c r="AE379" s="172"/>
      <c r="AF379" s="106">
        <f t="shared" si="390"/>
        <v>3000</v>
      </c>
      <c r="AG379" s="198"/>
      <c r="AH379" s="106">
        <f t="shared" si="391"/>
        <v>3000</v>
      </c>
      <c r="AI379" s="172"/>
      <c r="AJ379" s="106">
        <f t="shared" si="392"/>
        <v>3000</v>
      </c>
      <c r="AK379" s="172"/>
      <c r="AL379" s="106">
        <f t="shared" si="393"/>
        <v>3000</v>
      </c>
      <c r="AM379" s="172"/>
      <c r="AN379" s="106">
        <f t="shared" si="394"/>
        <v>3000</v>
      </c>
      <c r="AO379" s="106">
        <v>0</v>
      </c>
      <c r="AP379" s="113">
        <v>0</v>
      </c>
      <c r="AQ379" s="243">
        <v>0</v>
      </c>
      <c r="AR379" s="275"/>
      <c r="AS379" s="244">
        <f t="shared" si="342"/>
        <v>0</v>
      </c>
      <c r="AT379" s="103">
        <f t="shared" si="373"/>
        <v>3000</v>
      </c>
      <c r="AU379" s="103"/>
      <c r="AV379" s="103"/>
    </row>
    <row r="380" spans="1:48" ht="12.75" hidden="1">
      <c r="A380" s="21"/>
      <c r="B380" s="27">
        <v>4210</v>
      </c>
      <c r="C380" s="18" t="s">
        <v>14</v>
      </c>
      <c r="D380" s="104">
        <v>4000</v>
      </c>
      <c r="E380" s="106"/>
      <c r="F380" s="106">
        <f t="shared" si="379"/>
        <v>4000</v>
      </c>
      <c r="G380" s="109"/>
      <c r="H380" s="106">
        <f t="shared" si="380"/>
        <v>4000</v>
      </c>
      <c r="I380" s="109"/>
      <c r="J380" s="106">
        <f t="shared" si="381"/>
        <v>4000</v>
      </c>
      <c r="K380" s="110"/>
      <c r="L380" s="106">
        <f t="shared" si="382"/>
        <v>4000</v>
      </c>
      <c r="M380" s="109"/>
      <c r="N380" s="106">
        <f t="shared" si="383"/>
        <v>4000</v>
      </c>
      <c r="O380" s="106"/>
      <c r="P380" s="106">
        <f t="shared" si="383"/>
        <v>4000</v>
      </c>
      <c r="Q380" s="109"/>
      <c r="R380" s="106">
        <f t="shared" si="383"/>
        <v>4000</v>
      </c>
      <c r="S380" s="109"/>
      <c r="T380" s="106">
        <f t="shared" si="384"/>
        <v>4000</v>
      </c>
      <c r="U380" s="109"/>
      <c r="V380" s="106">
        <f t="shared" si="385"/>
        <v>4000</v>
      </c>
      <c r="W380" s="109"/>
      <c r="X380" s="106">
        <f t="shared" si="386"/>
        <v>4000</v>
      </c>
      <c r="Y380" s="109"/>
      <c r="Z380" s="106">
        <f t="shared" si="387"/>
        <v>4000</v>
      </c>
      <c r="AA380" s="109"/>
      <c r="AB380" s="106">
        <f t="shared" si="388"/>
        <v>4000</v>
      </c>
      <c r="AC380" s="172"/>
      <c r="AD380" s="106">
        <f t="shared" si="389"/>
        <v>4000</v>
      </c>
      <c r="AE380" s="172"/>
      <c r="AF380" s="106">
        <f t="shared" si="390"/>
        <v>4000</v>
      </c>
      <c r="AG380" s="198"/>
      <c r="AH380" s="106">
        <f t="shared" si="391"/>
        <v>4000</v>
      </c>
      <c r="AI380" s="172"/>
      <c r="AJ380" s="106">
        <f t="shared" si="392"/>
        <v>4000</v>
      </c>
      <c r="AK380" s="172"/>
      <c r="AL380" s="106">
        <f t="shared" si="393"/>
        <v>4000</v>
      </c>
      <c r="AM380" s="172"/>
      <c r="AN380" s="106">
        <f t="shared" si="394"/>
        <v>4000</v>
      </c>
      <c r="AO380" s="106">
        <v>10779</v>
      </c>
      <c r="AP380" s="113">
        <v>0</v>
      </c>
      <c r="AQ380" s="243">
        <f>4000-1000</f>
        <v>3000</v>
      </c>
      <c r="AR380" s="275"/>
      <c r="AS380" s="244">
        <f t="shared" si="342"/>
        <v>3000</v>
      </c>
      <c r="AT380" s="103">
        <f t="shared" si="373"/>
        <v>4000</v>
      </c>
      <c r="AU380" s="103"/>
      <c r="AV380" s="103"/>
    </row>
    <row r="381" spans="1:48" ht="12.75" hidden="1">
      <c r="A381" s="21"/>
      <c r="B381" s="27">
        <v>4240</v>
      </c>
      <c r="C381" s="18" t="s">
        <v>76</v>
      </c>
      <c r="D381" s="104">
        <v>3000</v>
      </c>
      <c r="E381" s="106"/>
      <c r="F381" s="106">
        <f t="shared" si="379"/>
        <v>3000</v>
      </c>
      <c r="G381" s="109"/>
      <c r="H381" s="106">
        <f t="shared" si="380"/>
        <v>3000</v>
      </c>
      <c r="I381" s="109"/>
      <c r="J381" s="106">
        <f t="shared" si="381"/>
        <v>3000</v>
      </c>
      <c r="K381" s="110"/>
      <c r="L381" s="106">
        <f t="shared" si="382"/>
        <v>3000</v>
      </c>
      <c r="M381" s="109"/>
      <c r="N381" s="106">
        <f t="shared" si="383"/>
        <v>3000</v>
      </c>
      <c r="O381" s="106"/>
      <c r="P381" s="106">
        <f t="shared" si="383"/>
        <v>3000</v>
      </c>
      <c r="Q381" s="109"/>
      <c r="R381" s="106">
        <f t="shared" si="383"/>
        <v>3000</v>
      </c>
      <c r="S381" s="109"/>
      <c r="T381" s="106">
        <f t="shared" si="384"/>
        <v>3000</v>
      </c>
      <c r="U381" s="109"/>
      <c r="V381" s="106">
        <f t="shared" si="385"/>
        <v>3000</v>
      </c>
      <c r="W381" s="109"/>
      <c r="X381" s="106">
        <f t="shared" si="386"/>
        <v>3000</v>
      </c>
      <c r="Y381" s="109"/>
      <c r="Z381" s="106">
        <f t="shared" si="387"/>
        <v>3000</v>
      </c>
      <c r="AA381" s="109"/>
      <c r="AB381" s="106">
        <f t="shared" si="388"/>
        <v>3000</v>
      </c>
      <c r="AC381" s="172"/>
      <c r="AD381" s="106">
        <f t="shared" si="389"/>
        <v>3000</v>
      </c>
      <c r="AE381" s="172"/>
      <c r="AF381" s="106">
        <f t="shared" si="390"/>
        <v>3000</v>
      </c>
      <c r="AG381" s="198"/>
      <c r="AH381" s="106">
        <f t="shared" si="391"/>
        <v>3000</v>
      </c>
      <c r="AI381" s="172"/>
      <c r="AJ381" s="106">
        <f t="shared" si="392"/>
        <v>3000</v>
      </c>
      <c r="AK381" s="172"/>
      <c r="AL381" s="106">
        <f t="shared" si="393"/>
        <v>3000</v>
      </c>
      <c r="AM381" s="172"/>
      <c r="AN381" s="106">
        <f t="shared" si="394"/>
        <v>3000</v>
      </c>
      <c r="AO381" s="106">
        <v>1969</v>
      </c>
      <c r="AP381" s="113">
        <v>1243</v>
      </c>
      <c r="AQ381" s="243">
        <v>3000</v>
      </c>
      <c r="AR381" s="275"/>
      <c r="AS381" s="244">
        <f t="shared" si="342"/>
        <v>3000</v>
      </c>
      <c r="AT381" s="103">
        <f t="shared" si="373"/>
        <v>1342.6666666666667</v>
      </c>
      <c r="AU381" s="103"/>
      <c r="AV381" s="103"/>
    </row>
    <row r="382" spans="1:48" ht="12.75" hidden="1">
      <c r="A382" s="21"/>
      <c r="B382" s="27">
        <v>4260</v>
      </c>
      <c r="C382" s="18" t="s">
        <v>43</v>
      </c>
      <c r="D382" s="104"/>
      <c r="E382" s="106"/>
      <c r="F382" s="106"/>
      <c r="G382" s="109"/>
      <c r="H382" s="106"/>
      <c r="I382" s="109"/>
      <c r="J382" s="106"/>
      <c r="K382" s="110"/>
      <c r="L382" s="106"/>
      <c r="M382" s="109"/>
      <c r="N382" s="106"/>
      <c r="O382" s="106"/>
      <c r="P382" s="106"/>
      <c r="Q382" s="109"/>
      <c r="R382" s="106"/>
      <c r="S382" s="109"/>
      <c r="T382" s="106"/>
      <c r="U382" s="109"/>
      <c r="V382" s="106"/>
      <c r="W382" s="109"/>
      <c r="X382" s="106"/>
      <c r="Y382" s="109"/>
      <c r="Z382" s="106"/>
      <c r="AA382" s="109"/>
      <c r="AB382" s="106"/>
      <c r="AC382" s="172"/>
      <c r="AD382" s="106"/>
      <c r="AE382" s="172"/>
      <c r="AF382" s="106"/>
      <c r="AG382" s="198"/>
      <c r="AH382" s="106"/>
      <c r="AI382" s="172"/>
      <c r="AJ382" s="106"/>
      <c r="AK382" s="172"/>
      <c r="AL382" s="106"/>
      <c r="AM382" s="172"/>
      <c r="AN382" s="106"/>
      <c r="AO382" s="106"/>
      <c r="AP382" s="113"/>
      <c r="AQ382" s="243">
        <v>1500</v>
      </c>
      <c r="AR382" s="275"/>
      <c r="AS382" s="244">
        <f t="shared" si="342"/>
        <v>1500</v>
      </c>
      <c r="AT382" s="103"/>
      <c r="AU382" s="103"/>
      <c r="AV382" s="103"/>
    </row>
    <row r="383" spans="1:48" ht="12.75" hidden="1">
      <c r="A383" s="21"/>
      <c r="B383" s="27">
        <v>4270</v>
      </c>
      <c r="C383" s="18" t="s">
        <v>24</v>
      </c>
      <c r="D383" s="104">
        <v>2000</v>
      </c>
      <c r="E383" s="106"/>
      <c r="F383" s="106">
        <f aca="true" t="shared" si="395" ref="F383:F389">E383+D383</f>
        <v>2000</v>
      </c>
      <c r="G383" s="109"/>
      <c r="H383" s="106">
        <f t="shared" si="380"/>
        <v>2000</v>
      </c>
      <c r="I383" s="109"/>
      <c r="J383" s="106">
        <f t="shared" si="381"/>
        <v>2000</v>
      </c>
      <c r="K383" s="110"/>
      <c r="L383" s="106">
        <f t="shared" si="382"/>
        <v>2000</v>
      </c>
      <c r="M383" s="109"/>
      <c r="N383" s="106">
        <f t="shared" si="383"/>
        <v>2000</v>
      </c>
      <c r="O383" s="106"/>
      <c r="P383" s="106">
        <f t="shared" si="383"/>
        <v>2000</v>
      </c>
      <c r="Q383" s="109"/>
      <c r="R383" s="106">
        <f t="shared" si="383"/>
        <v>2000</v>
      </c>
      <c r="S383" s="109"/>
      <c r="T383" s="106">
        <f t="shared" si="384"/>
        <v>2000</v>
      </c>
      <c r="U383" s="109"/>
      <c r="V383" s="106">
        <f t="shared" si="385"/>
        <v>2000</v>
      </c>
      <c r="W383" s="109"/>
      <c r="X383" s="106">
        <f t="shared" si="386"/>
        <v>2000</v>
      </c>
      <c r="Y383" s="109"/>
      <c r="Z383" s="106">
        <f t="shared" si="387"/>
        <v>2000</v>
      </c>
      <c r="AA383" s="109"/>
      <c r="AB383" s="106">
        <f t="shared" si="388"/>
        <v>2000</v>
      </c>
      <c r="AC383" s="109"/>
      <c r="AD383" s="106">
        <f t="shared" si="389"/>
        <v>2000</v>
      </c>
      <c r="AE383" s="109"/>
      <c r="AF383" s="106">
        <f t="shared" si="390"/>
        <v>2000</v>
      </c>
      <c r="AG383" s="147"/>
      <c r="AH383" s="106">
        <f t="shared" si="391"/>
        <v>2000</v>
      </c>
      <c r="AI383" s="109"/>
      <c r="AJ383" s="106">
        <f t="shared" si="392"/>
        <v>2000</v>
      </c>
      <c r="AK383" s="109">
        <v>-2000</v>
      </c>
      <c r="AL383" s="106">
        <f t="shared" si="393"/>
        <v>0</v>
      </c>
      <c r="AM383" s="109"/>
      <c r="AN383" s="106">
        <f t="shared" si="394"/>
        <v>0</v>
      </c>
      <c r="AO383" s="106">
        <v>3000</v>
      </c>
      <c r="AP383" s="113">
        <v>0</v>
      </c>
      <c r="AQ383" s="243">
        <v>500</v>
      </c>
      <c r="AR383" s="275"/>
      <c r="AS383" s="244">
        <f t="shared" si="342"/>
        <v>500</v>
      </c>
      <c r="AT383" s="103">
        <f t="shared" si="373"/>
        <v>0</v>
      </c>
      <c r="AU383" s="103"/>
      <c r="AV383" s="103"/>
    </row>
    <row r="384" spans="1:48" ht="12.75" hidden="1">
      <c r="A384" s="21"/>
      <c r="B384" s="27">
        <v>4280</v>
      </c>
      <c r="C384" s="18" t="s">
        <v>44</v>
      </c>
      <c r="D384" s="104">
        <v>400</v>
      </c>
      <c r="E384" s="106"/>
      <c r="F384" s="106">
        <f t="shared" si="395"/>
        <v>400</v>
      </c>
      <c r="G384" s="109"/>
      <c r="H384" s="106">
        <f t="shared" si="380"/>
        <v>400</v>
      </c>
      <c r="I384" s="109"/>
      <c r="J384" s="106">
        <f t="shared" si="381"/>
        <v>400</v>
      </c>
      <c r="K384" s="110"/>
      <c r="L384" s="106">
        <f t="shared" si="382"/>
        <v>400</v>
      </c>
      <c r="M384" s="109"/>
      <c r="N384" s="106">
        <f t="shared" si="383"/>
        <v>400</v>
      </c>
      <c r="O384" s="106"/>
      <c r="P384" s="106">
        <f t="shared" si="383"/>
        <v>400</v>
      </c>
      <c r="Q384" s="109"/>
      <c r="R384" s="106">
        <f t="shared" si="383"/>
        <v>400</v>
      </c>
      <c r="S384" s="109"/>
      <c r="T384" s="106">
        <f t="shared" si="384"/>
        <v>400</v>
      </c>
      <c r="U384" s="109"/>
      <c r="V384" s="106">
        <f t="shared" si="385"/>
        <v>400</v>
      </c>
      <c r="W384" s="109"/>
      <c r="X384" s="106">
        <f t="shared" si="386"/>
        <v>400</v>
      </c>
      <c r="Y384" s="109"/>
      <c r="Z384" s="106">
        <f t="shared" si="387"/>
        <v>400</v>
      </c>
      <c r="AA384" s="109"/>
      <c r="AB384" s="106">
        <f t="shared" si="388"/>
        <v>400</v>
      </c>
      <c r="AC384" s="109"/>
      <c r="AD384" s="106">
        <f t="shared" si="389"/>
        <v>400</v>
      </c>
      <c r="AE384" s="109"/>
      <c r="AF384" s="106">
        <f t="shared" si="390"/>
        <v>400</v>
      </c>
      <c r="AG384" s="147"/>
      <c r="AH384" s="106">
        <f t="shared" si="391"/>
        <v>400</v>
      </c>
      <c r="AI384" s="109"/>
      <c r="AJ384" s="106">
        <f t="shared" si="392"/>
        <v>400</v>
      </c>
      <c r="AK384" s="109"/>
      <c r="AL384" s="106">
        <f t="shared" si="393"/>
        <v>400</v>
      </c>
      <c r="AM384" s="109"/>
      <c r="AN384" s="106">
        <f t="shared" si="394"/>
        <v>400</v>
      </c>
      <c r="AO384" s="106">
        <v>30</v>
      </c>
      <c r="AP384" s="113">
        <v>0</v>
      </c>
      <c r="AQ384" s="243">
        <v>500</v>
      </c>
      <c r="AR384" s="275"/>
      <c r="AS384" s="244">
        <f t="shared" si="342"/>
        <v>500</v>
      </c>
      <c r="AT384" s="103">
        <f t="shared" si="373"/>
        <v>400</v>
      </c>
      <c r="AU384" s="103"/>
      <c r="AV384" s="103"/>
    </row>
    <row r="385" spans="1:48" ht="12.75" hidden="1">
      <c r="A385" s="21"/>
      <c r="B385" s="27">
        <v>4300</v>
      </c>
      <c r="C385" s="18" t="s">
        <v>15</v>
      </c>
      <c r="D385" s="104">
        <v>2000</v>
      </c>
      <c r="E385" s="106"/>
      <c r="F385" s="106">
        <f t="shared" si="395"/>
        <v>2000</v>
      </c>
      <c r="G385" s="109"/>
      <c r="H385" s="106">
        <f t="shared" si="380"/>
        <v>2000</v>
      </c>
      <c r="I385" s="109"/>
      <c r="J385" s="106">
        <f t="shared" si="381"/>
        <v>2000</v>
      </c>
      <c r="K385" s="110"/>
      <c r="L385" s="106">
        <f t="shared" si="382"/>
        <v>2000</v>
      </c>
      <c r="M385" s="109"/>
      <c r="N385" s="106">
        <f t="shared" si="383"/>
        <v>2000</v>
      </c>
      <c r="O385" s="106"/>
      <c r="P385" s="106">
        <f t="shared" si="383"/>
        <v>2000</v>
      </c>
      <c r="Q385" s="109"/>
      <c r="R385" s="106">
        <f t="shared" si="383"/>
        <v>2000</v>
      </c>
      <c r="S385" s="109"/>
      <c r="T385" s="106">
        <f t="shared" si="384"/>
        <v>2000</v>
      </c>
      <c r="U385" s="109"/>
      <c r="V385" s="106">
        <f t="shared" si="385"/>
        <v>2000</v>
      </c>
      <c r="W385" s="109"/>
      <c r="X385" s="106">
        <f t="shared" si="386"/>
        <v>2000</v>
      </c>
      <c r="Y385" s="109"/>
      <c r="Z385" s="106">
        <f t="shared" si="387"/>
        <v>2000</v>
      </c>
      <c r="AA385" s="109"/>
      <c r="AB385" s="106">
        <f t="shared" si="388"/>
        <v>2000</v>
      </c>
      <c r="AC385" s="109"/>
      <c r="AD385" s="106">
        <f t="shared" si="389"/>
        <v>2000</v>
      </c>
      <c r="AE385" s="109"/>
      <c r="AF385" s="106">
        <f t="shared" si="390"/>
        <v>2000</v>
      </c>
      <c r="AG385" s="147"/>
      <c r="AH385" s="106">
        <f t="shared" si="391"/>
        <v>2000</v>
      </c>
      <c r="AI385" s="109"/>
      <c r="AJ385" s="106">
        <f t="shared" si="392"/>
        <v>2000</v>
      </c>
      <c r="AK385" s="109"/>
      <c r="AL385" s="106">
        <f t="shared" si="393"/>
        <v>2000</v>
      </c>
      <c r="AM385" s="109"/>
      <c r="AN385" s="106">
        <f t="shared" si="394"/>
        <v>2000</v>
      </c>
      <c r="AO385" s="106">
        <v>0</v>
      </c>
      <c r="AP385" s="113">
        <v>0</v>
      </c>
      <c r="AQ385" s="243">
        <f>2200-500</f>
        <v>1700</v>
      </c>
      <c r="AR385" s="275"/>
      <c r="AS385" s="244">
        <f t="shared" si="342"/>
        <v>1700</v>
      </c>
      <c r="AT385" s="103">
        <f t="shared" si="373"/>
        <v>2000</v>
      </c>
      <c r="AU385" s="103"/>
      <c r="AV385" s="103"/>
    </row>
    <row r="386" spans="1:48" ht="12.75" hidden="1">
      <c r="A386" s="21"/>
      <c r="B386" s="27">
        <v>4410</v>
      </c>
      <c r="C386" s="18" t="s">
        <v>48</v>
      </c>
      <c r="D386" s="104">
        <v>2500</v>
      </c>
      <c r="E386" s="106"/>
      <c r="F386" s="106">
        <f t="shared" si="395"/>
        <v>2500</v>
      </c>
      <c r="G386" s="109"/>
      <c r="H386" s="106">
        <f t="shared" si="380"/>
        <v>2500</v>
      </c>
      <c r="I386" s="109"/>
      <c r="J386" s="106">
        <f t="shared" si="381"/>
        <v>2500</v>
      </c>
      <c r="K386" s="110"/>
      <c r="L386" s="106">
        <f t="shared" si="382"/>
        <v>2500</v>
      </c>
      <c r="M386" s="109"/>
      <c r="N386" s="106">
        <f t="shared" si="383"/>
        <v>2500</v>
      </c>
      <c r="O386" s="106"/>
      <c r="P386" s="106">
        <f t="shared" si="383"/>
        <v>2500</v>
      </c>
      <c r="Q386" s="109"/>
      <c r="R386" s="106">
        <f t="shared" si="383"/>
        <v>2500</v>
      </c>
      <c r="S386" s="109"/>
      <c r="T386" s="106">
        <f t="shared" si="384"/>
        <v>2500</v>
      </c>
      <c r="U386" s="109"/>
      <c r="V386" s="106">
        <f t="shared" si="385"/>
        <v>2500</v>
      </c>
      <c r="W386" s="109"/>
      <c r="X386" s="106">
        <f t="shared" si="386"/>
        <v>2500</v>
      </c>
      <c r="Y386" s="109"/>
      <c r="Z386" s="106">
        <f t="shared" si="387"/>
        <v>2500</v>
      </c>
      <c r="AA386" s="109"/>
      <c r="AB386" s="106">
        <f t="shared" si="388"/>
        <v>2500</v>
      </c>
      <c r="AC386" s="109"/>
      <c r="AD386" s="106">
        <f t="shared" si="389"/>
        <v>2500</v>
      </c>
      <c r="AE386" s="109"/>
      <c r="AF386" s="106">
        <f t="shared" si="390"/>
        <v>2500</v>
      </c>
      <c r="AG386" s="147"/>
      <c r="AH386" s="106">
        <f t="shared" si="391"/>
        <v>2500</v>
      </c>
      <c r="AI386" s="109"/>
      <c r="AJ386" s="106">
        <f t="shared" si="392"/>
        <v>2500</v>
      </c>
      <c r="AK386" s="109">
        <v>-2000</v>
      </c>
      <c r="AL386" s="106">
        <f t="shared" si="393"/>
        <v>500</v>
      </c>
      <c r="AM386" s="109"/>
      <c r="AN386" s="106">
        <f t="shared" si="394"/>
        <v>500</v>
      </c>
      <c r="AO386" s="106">
        <v>0</v>
      </c>
      <c r="AP386" s="113">
        <v>0</v>
      </c>
      <c r="AQ386" s="243">
        <v>700</v>
      </c>
      <c r="AR386" s="275"/>
      <c r="AS386" s="244">
        <f t="shared" si="342"/>
        <v>700</v>
      </c>
      <c r="AT386" s="103">
        <f t="shared" si="373"/>
        <v>500</v>
      </c>
      <c r="AU386" s="103"/>
      <c r="AV386" s="103"/>
    </row>
    <row r="387" spans="1:48" ht="12.75" hidden="1">
      <c r="A387" s="21"/>
      <c r="B387" s="27">
        <v>4440</v>
      </c>
      <c r="C387" s="18" t="s">
        <v>50</v>
      </c>
      <c r="D387" s="104">
        <v>6845</v>
      </c>
      <c r="E387" s="106"/>
      <c r="F387" s="106">
        <f t="shared" si="395"/>
        <v>6845</v>
      </c>
      <c r="G387" s="109"/>
      <c r="H387" s="106">
        <f t="shared" si="380"/>
        <v>6845</v>
      </c>
      <c r="I387" s="109"/>
      <c r="J387" s="106">
        <f t="shared" si="381"/>
        <v>6845</v>
      </c>
      <c r="K387" s="110"/>
      <c r="L387" s="106">
        <f t="shared" si="382"/>
        <v>6845</v>
      </c>
      <c r="M387" s="109"/>
      <c r="N387" s="106">
        <f t="shared" si="383"/>
        <v>6845</v>
      </c>
      <c r="O387" s="106"/>
      <c r="P387" s="106">
        <f t="shared" si="383"/>
        <v>6845</v>
      </c>
      <c r="Q387" s="109"/>
      <c r="R387" s="106">
        <f t="shared" si="383"/>
        <v>6845</v>
      </c>
      <c r="S387" s="109"/>
      <c r="T387" s="106">
        <f t="shared" si="384"/>
        <v>6845</v>
      </c>
      <c r="U387" s="109"/>
      <c r="V387" s="106">
        <f t="shared" si="385"/>
        <v>6845</v>
      </c>
      <c r="W387" s="109"/>
      <c r="X387" s="106">
        <f t="shared" si="386"/>
        <v>6845</v>
      </c>
      <c r="Y387" s="109"/>
      <c r="Z387" s="106">
        <f t="shared" si="387"/>
        <v>6845</v>
      </c>
      <c r="AA387" s="109"/>
      <c r="AB387" s="106">
        <f t="shared" si="388"/>
        <v>6845</v>
      </c>
      <c r="AC387" s="109"/>
      <c r="AD387" s="106">
        <f t="shared" si="389"/>
        <v>6845</v>
      </c>
      <c r="AE387" s="109"/>
      <c r="AF387" s="106">
        <f t="shared" si="390"/>
        <v>6845</v>
      </c>
      <c r="AG387" s="147"/>
      <c r="AH387" s="106">
        <f t="shared" si="391"/>
        <v>6845</v>
      </c>
      <c r="AI387" s="109"/>
      <c r="AJ387" s="106">
        <f t="shared" si="392"/>
        <v>6845</v>
      </c>
      <c r="AK387" s="109"/>
      <c r="AL387" s="106">
        <f t="shared" si="393"/>
        <v>6845</v>
      </c>
      <c r="AM387" s="109"/>
      <c r="AN387" s="106">
        <f t="shared" si="394"/>
        <v>6845</v>
      </c>
      <c r="AO387" s="106">
        <v>6663</v>
      </c>
      <c r="AP387" s="113">
        <v>5100</v>
      </c>
      <c r="AQ387" s="243">
        <v>9583</v>
      </c>
      <c r="AR387" s="275"/>
      <c r="AS387" s="244">
        <f t="shared" si="342"/>
        <v>9583</v>
      </c>
      <c r="AT387" s="103">
        <f t="shared" si="373"/>
        <v>45</v>
      </c>
      <c r="AU387" s="103"/>
      <c r="AV387" s="103"/>
    </row>
    <row r="388" spans="1:48" ht="25.5" hidden="1">
      <c r="A388" s="21"/>
      <c r="B388" s="27">
        <v>4740</v>
      </c>
      <c r="C388" s="18" t="s">
        <v>52</v>
      </c>
      <c r="D388" s="104">
        <v>600</v>
      </c>
      <c r="E388" s="106"/>
      <c r="F388" s="106">
        <f t="shared" si="395"/>
        <v>600</v>
      </c>
      <c r="G388" s="109"/>
      <c r="H388" s="106">
        <f t="shared" si="380"/>
        <v>600</v>
      </c>
      <c r="I388" s="109"/>
      <c r="J388" s="106">
        <f t="shared" si="381"/>
        <v>600</v>
      </c>
      <c r="K388" s="110"/>
      <c r="L388" s="106">
        <f t="shared" si="382"/>
        <v>600</v>
      </c>
      <c r="M388" s="109"/>
      <c r="N388" s="106">
        <f t="shared" si="383"/>
        <v>600</v>
      </c>
      <c r="O388" s="106"/>
      <c r="P388" s="106">
        <f t="shared" si="383"/>
        <v>600</v>
      </c>
      <c r="Q388" s="109"/>
      <c r="R388" s="106">
        <f t="shared" si="383"/>
        <v>600</v>
      </c>
      <c r="S388" s="109"/>
      <c r="T388" s="106">
        <f t="shared" si="384"/>
        <v>600</v>
      </c>
      <c r="U388" s="109"/>
      <c r="V388" s="106">
        <f t="shared" si="385"/>
        <v>600</v>
      </c>
      <c r="W388" s="109"/>
      <c r="X388" s="106">
        <f t="shared" si="386"/>
        <v>600</v>
      </c>
      <c r="Y388" s="109"/>
      <c r="Z388" s="106">
        <f t="shared" si="387"/>
        <v>600</v>
      </c>
      <c r="AA388" s="109"/>
      <c r="AB388" s="106">
        <f t="shared" si="388"/>
        <v>600</v>
      </c>
      <c r="AC388" s="109"/>
      <c r="AD388" s="106">
        <f t="shared" si="389"/>
        <v>600</v>
      </c>
      <c r="AE388" s="109"/>
      <c r="AF388" s="106">
        <f t="shared" si="390"/>
        <v>600</v>
      </c>
      <c r="AG388" s="147"/>
      <c r="AH388" s="106">
        <f t="shared" si="391"/>
        <v>600</v>
      </c>
      <c r="AI388" s="109"/>
      <c r="AJ388" s="106">
        <f t="shared" si="392"/>
        <v>600</v>
      </c>
      <c r="AK388" s="109"/>
      <c r="AL388" s="106">
        <f t="shared" si="393"/>
        <v>600</v>
      </c>
      <c r="AM388" s="109"/>
      <c r="AN388" s="106">
        <f t="shared" si="394"/>
        <v>600</v>
      </c>
      <c r="AO388" s="106">
        <v>0</v>
      </c>
      <c r="AP388" s="113">
        <v>0</v>
      </c>
      <c r="AQ388" s="243">
        <v>600</v>
      </c>
      <c r="AR388" s="275"/>
      <c r="AS388" s="244">
        <f t="shared" si="342"/>
        <v>600</v>
      </c>
      <c r="AT388" s="103">
        <f t="shared" si="373"/>
        <v>600</v>
      </c>
      <c r="AU388" s="103"/>
      <c r="AV388" s="103"/>
    </row>
    <row r="389" spans="1:48" ht="12.75" hidden="1">
      <c r="A389" s="21"/>
      <c r="B389" s="27">
        <v>6060</v>
      </c>
      <c r="C389" s="18" t="s">
        <v>61</v>
      </c>
      <c r="D389" s="104">
        <v>0</v>
      </c>
      <c r="E389" s="106"/>
      <c r="F389" s="106">
        <f t="shared" si="395"/>
        <v>0</v>
      </c>
      <c r="G389" s="109"/>
      <c r="H389" s="106">
        <f t="shared" si="380"/>
        <v>0</v>
      </c>
      <c r="I389" s="109"/>
      <c r="J389" s="106">
        <f t="shared" si="381"/>
        <v>0</v>
      </c>
      <c r="K389" s="110"/>
      <c r="L389" s="106">
        <f t="shared" si="382"/>
        <v>0</v>
      </c>
      <c r="M389" s="109"/>
      <c r="N389" s="106">
        <f t="shared" si="383"/>
        <v>0</v>
      </c>
      <c r="O389" s="106"/>
      <c r="P389" s="106">
        <f t="shared" si="383"/>
        <v>0</v>
      </c>
      <c r="Q389" s="109"/>
      <c r="R389" s="106">
        <f t="shared" si="383"/>
        <v>0</v>
      </c>
      <c r="S389" s="109"/>
      <c r="T389" s="106">
        <f t="shared" si="384"/>
        <v>0</v>
      </c>
      <c r="U389" s="109"/>
      <c r="V389" s="106">
        <f t="shared" si="385"/>
        <v>0</v>
      </c>
      <c r="W389" s="109"/>
      <c r="X389" s="106">
        <f t="shared" si="386"/>
        <v>0</v>
      </c>
      <c r="Y389" s="109"/>
      <c r="Z389" s="106">
        <f t="shared" si="387"/>
        <v>0</v>
      </c>
      <c r="AA389" s="109"/>
      <c r="AB389" s="106">
        <f t="shared" si="388"/>
        <v>0</v>
      </c>
      <c r="AC389" s="109"/>
      <c r="AD389" s="106">
        <f t="shared" si="389"/>
        <v>0</v>
      </c>
      <c r="AE389" s="109"/>
      <c r="AF389" s="106">
        <f t="shared" si="390"/>
        <v>0</v>
      </c>
      <c r="AG389" s="147"/>
      <c r="AH389" s="106">
        <f t="shared" si="391"/>
        <v>0</v>
      </c>
      <c r="AI389" s="109"/>
      <c r="AJ389" s="106">
        <f t="shared" si="392"/>
        <v>0</v>
      </c>
      <c r="AK389" s="109"/>
      <c r="AL389" s="106">
        <f t="shared" si="393"/>
        <v>0</v>
      </c>
      <c r="AM389" s="109"/>
      <c r="AN389" s="106">
        <f t="shared" si="394"/>
        <v>0</v>
      </c>
      <c r="AO389" s="106">
        <f>AN389+AM389</f>
        <v>0</v>
      </c>
      <c r="AP389" s="113">
        <f>AO389+AN389</f>
        <v>0</v>
      </c>
      <c r="AQ389" s="243">
        <f>AP389+AO389</f>
        <v>0</v>
      </c>
      <c r="AR389" s="275"/>
      <c r="AS389" s="244">
        <f t="shared" si="342"/>
        <v>0</v>
      </c>
      <c r="AT389" s="103">
        <f t="shared" si="373"/>
        <v>0</v>
      </c>
      <c r="AU389" s="103"/>
      <c r="AV389" s="103"/>
    </row>
    <row r="390" spans="1:48" ht="12.75" hidden="1">
      <c r="A390" s="31">
        <v>85415</v>
      </c>
      <c r="B390" s="26"/>
      <c r="C390" s="19" t="s">
        <v>145</v>
      </c>
      <c r="D390" s="204">
        <f>D391+D392</f>
        <v>0</v>
      </c>
      <c r="E390" s="106"/>
      <c r="F390" s="106"/>
      <c r="G390" s="109"/>
      <c r="H390" s="106"/>
      <c r="I390" s="109"/>
      <c r="J390" s="106"/>
      <c r="K390" s="110"/>
      <c r="L390" s="106"/>
      <c r="M390" s="210">
        <f>M391</f>
        <v>112031</v>
      </c>
      <c r="N390" s="204">
        <f>N391</f>
        <v>112031</v>
      </c>
      <c r="O390" s="204"/>
      <c r="P390" s="204">
        <f aca="true" t="shared" si="396" ref="P390:Z390">P391</f>
        <v>112031</v>
      </c>
      <c r="Q390" s="210">
        <f t="shared" si="396"/>
        <v>0</v>
      </c>
      <c r="R390" s="204">
        <f t="shared" si="396"/>
        <v>112031</v>
      </c>
      <c r="S390" s="210">
        <f t="shared" si="396"/>
        <v>0</v>
      </c>
      <c r="T390" s="204">
        <f t="shared" si="396"/>
        <v>112031</v>
      </c>
      <c r="U390" s="210">
        <f t="shared" si="396"/>
        <v>0</v>
      </c>
      <c r="V390" s="204">
        <f t="shared" si="396"/>
        <v>112031</v>
      </c>
      <c r="W390" s="210">
        <f t="shared" si="396"/>
        <v>0</v>
      </c>
      <c r="X390" s="204">
        <f t="shared" si="396"/>
        <v>112031</v>
      </c>
      <c r="Y390" s="210">
        <f t="shared" si="396"/>
        <v>0</v>
      </c>
      <c r="Z390" s="204">
        <f t="shared" si="396"/>
        <v>112031</v>
      </c>
      <c r="AA390" s="204">
        <f aca="true" t="shared" si="397" ref="AA390:AF390">AA391+AA392</f>
        <v>26990</v>
      </c>
      <c r="AB390" s="204">
        <f t="shared" si="397"/>
        <v>139021</v>
      </c>
      <c r="AC390" s="204">
        <f t="shared" si="397"/>
        <v>0</v>
      </c>
      <c r="AD390" s="204">
        <f t="shared" si="397"/>
        <v>139021</v>
      </c>
      <c r="AE390" s="204">
        <f t="shared" si="397"/>
        <v>0</v>
      </c>
      <c r="AF390" s="204">
        <f t="shared" si="397"/>
        <v>139021</v>
      </c>
      <c r="AG390" s="205">
        <f aca="true" t="shared" si="398" ref="AG390:AL390">AG391+AG392</f>
        <v>0</v>
      </c>
      <c r="AH390" s="204">
        <f t="shared" si="398"/>
        <v>139021</v>
      </c>
      <c r="AI390" s="204">
        <f t="shared" si="398"/>
        <v>0</v>
      </c>
      <c r="AJ390" s="204">
        <f t="shared" si="398"/>
        <v>139021</v>
      </c>
      <c r="AK390" s="204">
        <f t="shared" si="398"/>
        <v>0</v>
      </c>
      <c r="AL390" s="204">
        <f t="shared" si="398"/>
        <v>139021</v>
      </c>
      <c r="AM390" s="204">
        <f>AM391+AM392</f>
        <v>0</v>
      </c>
      <c r="AN390" s="204">
        <f>AN391+AN392</f>
        <v>139021</v>
      </c>
      <c r="AO390" s="204">
        <f>AO391+AO392</f>
        <v>272873</v>
      </c>
      <c r="AP390" s="222">
        <f>AP391+AP392</f>
        <v>110046</v>
      </c>
      <c r="AQ390" s="251">
        <f>AQ391+AQ392</f>
        <v>0</v>
      </c>
      <c r="AR390" s="279"/>
      <c r="AS390" s="244">
        <f t="shared" si="342"/>
        <v>0</v>
      </c>
      <c r="AT390" s="103">
        <f t="shared" si="373"/>
        <v>-7707</v>
      </c>
      <c r="AU390" s="103"/>
      <c r="AV390" s="103"/>
    </row>
    <row r="391" spans="1:48" ht="12.75" hidden="1">
      <c r="A391" s="31"/>
      <c r="B391" s="27">
        <v>3240</v>
      </c>
      <c r="C391" s="18" t="s">
        <v>146</v>
      </c>
      <c r="D391" s="104"/>
      <c r="E391" s="106"/>
      <c r="F391" s="106"/>
      <c r="G391" s="109"/>
      <c r="H391" s="106"/>
      <c r="I391" s="109"/>
      <c r="J391" s="106"/>
      <c r="K391" s="110"/>
      <c r="L391" s="106"/>
      <c r="M391" s="109">
        <v>112031</v>
      </c>
      <c r="N391" s="106">
        <f>M391+L391</f>
        <v>112031</v>
      </c>
      <c r="O391" s="106"/>
      <c r="P391" s="106">
        <f>O391+N391</f>
        <v>112031</v>
      </c>
      <c r="Q391" s="109"/>
      <c r="R391" s="106">
        <f>Q391+P391</f>
        <v>112031</v>
      </c>
      <c r="S391" s="109"/>
      <c r="T391" s="106">
        <f>S391+R391</f>
        <v>112031</v>
      </c>
      <c r="U391" s="109"/>
      <c r="V391" s="106">
        <f>U391+T391</f>
        <v>112031</v>
      </c>
      <c r="W391" s="109"/>
      <c r="X391" s="106">
        <f>W391+V391</f>
        <v>112031</v>
      </c>
      <c r="Y391" s="109"/>
      <c r="Z391" s="106">
        <f>Y391+X391</f>
        <v>112031</v>
      </c>
      <c r="AA391" s="109"/>
      <c r="AB391" s="106">
        <f>AA391+Z391</f>
        <v>112031</v>
      </c>
      <c r="AC391" s="109"/>
      <c r="AD391" s="106">
        <f>AC391+AB391</f>
        <v>112031</v>
      </c>
      <c r="AE391" s="109"/>
      <c r="AF391" s="106">
        <f>AE391+AD391</f>
        <v>112031</v>
      </c>
      <c r="AG391" s="147"/>
      <c r="AH391" s="106">
        <f>AG391+AF391</f>
        <v>112031</v>
      </c>
      <c r="AI391" s="109"/>
      <c r="AJ391" s="106">
        <f>AI391+AH391</f>
        <v>112031</v>
      </c>
      <c r="AK391" s="109"/>
      <c r="AL391" s="106">
        <f>AK391+AJ391</f>
        <v>112031</v>
      </c>
      <c r="AM391" s="109"/>
      <c r="AN391" s="106">
        <f>AM391+AL391</f>
        <v>112031</v>
      </c>
      <c r="AO391" s="106">
        <v>260533</v>
      </c>
      <c r="AP391" s="113">
        <v>110046</v>
      </c>
      <c r="AQ391" s="243">
        <v>0</v>
      </c>
      <c r="AR391" s="275"/>
      <c r="AS391" s="244">
        <f t="shared" si="342"/>
        <v>0</v>
      </c>
      <c r="AT391" s="103">
        <f t="shared" si="373"/>
        <v>-34697</v>
      </c>
      <c r="AU391" s="103"/>
      <c r="AV391" s="103"/>
    </row>
    <row r="392" spans="1:48" ht="12.75" hidden="1">
      <c r="A392" s="31"/>
      <c r="B392" s="27">
        <v>3260</v>
      </c>
      <c r="C392" s="18" t="s">
        <v>170</v>
      </c>
      <c r="D392" s="104"/>
      <c r="E392" s="106"/>
      <c r="F392" s="106"/>
      <c r="G392" s="109"/>
      <c r="H392" s="106"/>
      <c r="I392" s="109"/>
      <c r="J392" s="106"/>
      <c r="K392" s="110"/>
      <c r="L392" s="106"/>
      <c r="M392" s="109"/>
      <c r="N392" s="106"/>
      <c r="O392" s="106"/>
      <c r="P392" s="106"/>
      <c r="Q392" s="109"/>
      <c r="R392" s="106"/>
      <c r="S392" s="109"/>
      <c r="T392" s="106"/>
      <c r="U392" s="109"/>
      <c r="V392" s="106"/>
      <c r="W392" s="109"/>
      <c r="X392" s="106"/>
      <c r="Y392" s="109"/>
      <c r="Z392" s="106"/>
      <c r="AA392" s="109">
        <v>26990</v>
      </c>
      <c r="AB392" s="106">
        <f>AA392+Z392</f>
        <v>26990</v>
      </c>
      <c r="AC392" s="109"/>
      <c r="AD392" s="106">
        <f>AC392+AB392</f>
        <v>26990</v>
      </c>
      <c r="AE392" s="109"/>
      <c r="AF392" s="106">
        <f>AE392+AD392</f>
        <v>26990</v>
      </c>
      <c r="AG392" s="147"/>
      <c r="AH392" s="106">
        <f>AG392+AF392</f>
        <v>26990</v>
      </c>
      <c r="AI392" s="109"/>
      <c r="AJ392" s="106">
        <f>AI392+AH392</f>
        <v>26990</v>
      </c>
      <c r="AK392" s="109"/>
      <c r="AL392" s="106">
        <f>AK392+AJ392</f>
        <v>26990</v>
      </c>
      <c r="AM392" s="109"/>
      <c r="AN392" s="106">
        <f>AM392+AL392</f>
        <v>26990</v>
      </c>
      <c r="AO392" s="106">
        <v>12340</v>
      </c>
      <c r="AP392" s="113">
        <v>0</v>
      </c>
      <c r="AQ392" s="243">
        <v>0</v>
      </c>
      <c r="AR392" s="275"/>
      <c r="AS392" s="244">
        <f t="shared" si="342"/>
        <v>0</v>
      </c>
      <c r="AT392" s="103">
        <f t="shared" si="373"/>
        <v>26990</v>
      </c>
      <c r="AU392" s="103"/>
      <c r="AV392" s="103"/>
    </row>
    <row r="393" spans="1:48" ht="12.75" hidden="1">
      <c r="A393" s="218">
        <v>900</v>
      </c>
      <c r="B393" s="187"/>
      <c r="C393" s="188" t="s">
        <v>96</v>
      </c>
      <c r="D393" s="189">
        <f aca="true" t="shared" si="399" ref="D393:AP393">SUM(D394,D399,D402,D407,D414,D410,D418,D420)</f>
        <v>958000</v>
      </c>
      <c r="E393" s="189">
        <f t="shared" si="399"/>
        <v>0</v>
      </c>
      <c r="F393" s="189">
        <f t="shared" si="399"/>
        <v>958000</v>
      </c>
      <c r="G393" s="189">
        <f t="shared" si="399"/>
        <v>0</v>
      </c>
      <c r="H393" s="189">
        <f t="shared" si="399"/>
        <v>958000</v>
      </c>
      <c r="I393" s="189">
        <f t="shared" si="399"/>
        <v>0</v>
      </c>
      <c r="J393" s="189">
        <f t="shared" si="399"/>
        <v>958000</v>
      </c>
      <c r="K393" s="189">
        <f t="shared" si="399"/>
        <v>0</v>
      </c>
      <c r="L393" s="189">
        <f t="shared" si="399"/>
        <v>958000</v>
      </c>
      <c r="M393" s="189">
        <f t="shared" si="399"/>
        <v>0</v>
      </c>
      <c r="N393" s="189">
        <f t="shared" si="399"/>
        <v>958000</v>
      </c>
      <c r="O393" s="189">
        <f t="shared" si="399"/>
        <v>0</v>
      </c>
      <c r="P393" s="189">
        <f t="shared" si="399"/>
        <v>958000</v>
      </c>
      <c r="Q393" s="189">
        <f t="shared" si="399"/>
        <v>0</v>
      </c>
      <c r="R393" s="189">
        <f t="shared" si="399"/>
        <v>958000</v>
      </c>
      <c r="S393" s="189">
        <f t="shared" si="399"/>
        <v>0</v>
      </c>
      <c r="T393" s="189">
        <f t="shared" si="399"/>
        <v>958000</v>
      </c>
      <c r="U393" s="189">
        <f t="shared" si="399"/>
        <v>37950</v>
      </c>
      <c r="V393" s="189">
        <f t="shared" si="399"/>
        <v>995950</v>
      </c>
      <c r="W393" s="189">
        <f t="shared" si="399"/>
        <v>0</v>
      </c>
      <c r="X393" s="189">
        <f t="shared" si="399"/>
        <v>995950</v>
      </c>
      <c r="Y393" s="189">
        <f t="shared" si="399"/>
        <v>0</v>
      </c>
      <c r="Z393" s="189">
        <f t="shared" si="399"/>
        <v>995950</v>
      </c>
      <c r="AA393" s="189">
        <f t="shared" si="399"/>
        <v>0</v>
      </c>
      <c r="AB393" s="189">
        <f t="shared" si="399"/>
        <v>995950</v>
      </c>
      <c r="AC393" s="189">
        <f t="shared" si="399"/>
        <v>0</v>
      </c>
      <c r="AD393" s="189">
        <f t="shared" si="399"/>
        <v>995950</v>
      </c>
      <c r="AE393" s="189">
        <f t="shared" si="399"/>
        <v>0</v>
      </c>
      <c r="AF393" s="189">
        <f t="shared" si="399"/>
        <v>995950</v>
      </c>
      <c r="AG393" s="189">
        <f t="shared" si="399"/>
        <v>35315</v>
      </c>
      <c r="AH393" s="189">
        <f t="shared" si="399"/>
        <v>1031265</v>
      </c>
      <c r="AI393" s="189">
        <f t="shared" si="399"/>
        <v>0</v>
      </c>
      <c r="AJ393" s="189">
        <f t="shared" si="399"/>
        <v>1031265</v>
      </c>
      <c r="AK393" s="189">
        <f t="shared" si="399"/>
        <v>184500</v>
      </c>
      <c r="AL393" s="189">
        <f t="shared" si="399"/>
        <v>1215765</v>
      </c>
      <c r="AM393" s="189">
        <f t="shared" si="399"/>
        <v>0</v>
      </c>
      <c r="AN393" s="189">
        <f t="shared" si="399"/>
        <v>1215765</v>
      </c>
      <c r="AO393" s="189">
        <f t="shared" si="399"/>
        <v>721988</v>
      </c>
      <c r="AP393" s="221">
        <f t="shared" si="399"/>
        <v>636081</v>
      </c>
      <c r="AQ393" s="249">
        <f>SUM(AQ394,AQ399,AQ402,AQ407,AQ414,AQ410,AQ418,AQ420)</f>
        <v>1577674</v>
      </c>
      <c r="AR393" s="276"/>
      <c r="AS393" s="244">
        <f t="shared" si="342"/>
        <v>1577674</v>
      </c>
      <c r="AT393" s="103">
        <f t="shared" si="373"/>
        <v>367657</v>
      </c>
      <c r="AU393" s="103"/>
      <c r="AV393" s="103"/>
    </row>
    <row r="394" spans="1:48" ht="12.75" hidden="1">
      <c r="A394" s="31">
        <v>90001</v>
      </c>
      <c r="B394" s="26"/>
      <c r="C394" s="19" t="s">
        <v>125</v>
      </c>
      <c r="D394" s="190">
        <f aca="true" t="shared" si="400" ref="D394:T394">D395</f>
        <v>6000</v>
      </c>
      <c r="E394" s="190">
        <f t="shared" si="400"/>
        <v>0</v>
      </c>
      <c r="F394" s="190">
        <f t="shared" si="400"/>
        <v>6000</v>
      </c>
      <c r="G394" s="190">
        <f t="shared" si="400"/>
        <v>0</v>
      </c>
      <c r="H394" s="190">
        <f t="shared" si="400"/>
        <v>6000</v>
      </c>
      <c r="I394" s="190">
        <f t="shared" si="400"/>
        <v>0</v>
      </c>
      <c r="J394" s="190">
        <f t="shared" si="400"/>
        <v>6000</v>
      </c>
      <c r="K394" s="190">
        <f t="shared" si="400"/>
        <v>0</v>
      </c>
      <c r="L394" s="190">
        <f t="shared" si="400"/>
        <v>6000</v>
      </c>
      <c r="M394" s="190">
        <f t="shared" si="400"/>
        <v>0</v>
      </c>
      <c r="N394" s="190">
        <f t="shared" si="400"/>
        <v>6000</v>
      </c>
      <c r="O394" s="190"/>
      <c r="P394" s="190">
        <f t="shared" si="400"/>
        <v>6000</v>
      </c>
      <c r="Q394" s="190">
        <f t="shared" si="400"/>
        <v>0</v>
      </c>
      <c r="R394" s="190">
        <f t="shared" si="400"/>
        <v>6000</v>
      </c>
      <c r="S394" s="190">
        <f t="shared" si="400"/>
        <v>0</v>
      </c>
      <c r="T394" s="190">
        <f t="shared" si="400"/>
        <v>6000</v>
      </c>
      <c r="U394" s="190">
        <f aca="true" t="shared" si="401" ref="U394:Z394">U395+U397+U398</f>
        <v>25403</v>
      </c>
      <c r="V394" s="190">
        <f t="shared" si="401"/>
        <v>31403</v>
      </c>
      <c r="W394" s="190">
        <f t="shared" si="401"/>
        <v>0</v>
      </c>
      <c r="X394" s="190">
        <f t="shared" si="401"/>
        <v>31403</v>
      </c>
      <c r="Y394" s="190">
        <f t="shared" si="401"/>
        <v>0</v>
      </c>
      <c r="Z394" s="190">
        <f t="shared" si="401"/>
        <v>31403</v>
      </c>
      <c r="AA394" s="190">
        <f aca="true" t="shared" si="402" ref="AA394:AF394">AA395+AA397+AA398</f>
        <v>0</v>
      </c>
      <c r="AB394" s="190">
        <f t="shared" si="402"/>
        <v>31403</v>
      </c>
      <c r="AC394" s="190">
        <f t="shared" si="402"/>
        <v>0</v>
      </c>
      <c r="AD394" s="190">
        <f t="shared" si="402"/>
        <v>31403</v>
      </c>
      <c r="AE394" s="190">
        <f t="shared" si="402"/>
        <v>0</v>
      </c>
      <c r="AF394" s="190">
        <f t="shared" si="402"/>
        <v>31403</v>
      </c>
      <c r="AG394" s="191">
        <f>AG395+AG397+AG398</f>
        <v>1000</v>
      </c>
      <c r="AH394" s="190">
        <f>AH395+AH397+AH398</f>
        <v>32403</v>
      </c>
      <c r="AI394" s="190">
        <f>AI395+AI397+AI398</f>
        <v>0</v>
      </c>
      <c r="AJ394" s="190">
        <f>AJ395+AJ397+AJ398</f>
        <v>32403</v>
      </c>
      <c r="AK394" s="190">
        <f aca="true" t="shared" si="403" ref="AK394:AQ394">SUM(AK395:AK398)</f>
        <v>2900</v>
      </c>
      <c r="AL394" s="190">
        <f t="shared" si="403"/>
        <v>35303</v>
      </c>
      <c r="AM394" s="190">
        <f t="shared" si="403"/>
        <v>0</v>
      </c>
      <c r="AN394" s="190">
        <f t="shared" si="403"/>
        <v>35303</v>
      </c>
      <c r="AO394" s="190">
        <f t="shared" si="403"/>
        <v>25469</v>
      </c>
      <c r="AP394" s="81">
        <f t="shared" si="403"/>
        <v>9729</v>
      </c>
      <c r="AQ394" s="247">
        <f t="shared" si="403"/>
        <v>3000</v>
      </c>
      <c r="AR394" s="274"/>
      <c r="AS394" s="244">
        <f t="shared" si="342"/>
        <v>3000</v>
      </c>
      <c r="AT394" s="103">
        <f t="shared" si="373"/>
        <v>22331</v>
      </c>
      <c r="AU394" s="103"/>
      <c r="AV394" s="103"/>
    </row>
    <row r="395" spans="1:48" ht="12.75" hidden="1">
      <c r="A395" s="31"/>
      <c r="B395" s="27">
        <v>4260</v>
      </c>
      <c r="C395" s="18" t="s">
        <v>43</v>
      </c>
      <c r="D395" s="104">
        <v>6000</v>
      </c>
      <c r="E395" s="106"/>
      <c r="F395" s="106">
        <f>E395+D395</f>
        <v>6000</v>
      </c>
      <c r="G395" s="109"/>
      <c r="H395" s="106">
        <f>G395+F395</f>
        <v>6000</v>
      </c>
      <c r="I395" s="109"/>
      <c r="J395" s="106">
        <f>I395+H395</f>
        <v>6000</v>
      </c>
      <c r="K395" s="110"/>
      <c r="L395" s="106">
        <f>K395+H395</f>
        <v>6000</v>
      </c>
      <c r="M395" s="109"/>
      <c r="N395" s="106">
        <f>M395+L395</f>
        <v>6000</v>
      </c>
      <c r="O395" s="106"/>
      <c r="P395" s="106">
        <f>O395+N395</f>
        <v>6000</v>
      </c>
      <c r="Q395" s="109"/>
      <c r="R395" s="106">
        <f>Q395+P395</f>
        <v>6000</v>
      </c>
      <c r="S395" s="109"/>
      <c r="T395" s="106">
        <f>S395+R395</f>
        <v>6000</v>
      </c>
      <c r="U395" s="109"/>
      <c r="V395" s="106">
        <f>U395+T395</f>
        <v>6000</v>
      </c>
      <c r="W395" s="109"/>
      <c r="X395" s="106">
        <f>W395+V395</f>
        <v>6000</v>
      </c>
      <c r="Y395" s="109"/>
      <c r="Z395" s="106">
        <f>Y395+X395</f>
        <v>6000</v>
      </c>
      <c r="AA395" s="109"/>
      <c r="AB395" s="106">
        <f>AA395+Z395</f>
        <v>6000</v>
      </c>
      <c r="AC395" s="109"/>
      <c r="AD395" s="106">
        <f>AC395+AB395</f>
        <v>6000</v>
      </c>
      <c r="AE395" s="109"/>
      <c r="AF395" s="106">
        <f>AE395+AD395</f>
        <v>6000</v>
      </c>
      <c r="AG395" s="198">
        <v>1000</v>
      </c>
      <c r="AH395" s="106">
        <f>AG395+AF395</f>
        <v>7000</v>
      </c>
      <c r="AI395" s="172"/>
      <c r="AJ395" s="106">
        <f>AI395+AH395</f>
        <v>7000</v>
      </c>
      <c r="AK395" s="172"/>
      <c r="AL395" s="106">
        <f>AK395+AJ395</f>
        <v>7000</v>
      </c>
      <c r="AM395" s="172"/>
      <c r="AN395" s="106">
        <f>AM395+AL395</f>
        <v>7000</v>
      </c>
      <c r="AO395" s="106">
        <v>6643</v>
      </c>
      <c r="AP395" s="113">
        <v>6435</v>
      </c>
      <c r="AQ395" s="243">
        <v>0</v>
      </c>
      <c r="AR395" s="275"/>
      <c r="AS395" s="244">
        <f t="shared" si="342"/>
        <v>0</v>
      </c>
      <c r="AT395" s="156">
        <f t="shared" si="373"/>
        <v>-1580</v>
      </c>
      <c r="AU395" s="103"/>
      <c r="AV395" s="103"/>
    </row>
    <row r="396" spans="1:48" ht="12.75" hidden="1">
      <c r="A396" s="31"/>
      <c r="B396" s="27">
        <v>4300</v>
      </c>
      <c r="C396" s="18" t="s">
        <v>15</v>
      </c>
      <c r="D396" s="104"/>
      <c r="E396" s="106"/>
      <c r="F396" s="106"/>
      <c r="G396" s="109"/>
      <c r="H396" s="106"/>
      <c r="I396" s="109"/>
      <c r="J396" s="106"/>
      <c r="K396" s="110"/>
      <c r="L396" s="106"/>
      <c r="M396" s="109"/>
      <c r="N396" s="106"/>
      <c r="O396" s="106"/>
      <c r="P396" s="106"/>
      <c r="Q396" s="109"/>
      <c r="R396" s="106"/>
      <c r="S396" s="109"/>
      <c r="T396" s="106"/>
      <c r="U396" s="109"/>
      <c r="V396" s="106"/>
      <c r="W396" s="109"/>
      <c r="X396" s="106"/>
      <c r="Y396" s="109"/>
      <c r="Z396" s="106"/>
      <c r="AA396" s="109"/>
      <c r="AB396" s="106"/>
      <c r="AC396" s="109"/>
      <c r="AD396" s="106"/>
      <c r="AE396" s="109"/>
      <c r="AF396" s="106"/>
      <c r="AG396" s="198"/>
      <c r="AH396" s="106"/>
      <c r="AI396" s="172"/>
      <c r="AJ396" s="106"/>
      <c r="AK396" s="172">
        <v>2900</v>
      </c>
      <c r="AL396" s="106">
        <f>AK396+AJ396</f>
        <v>2900</v>
      </c>
      <c r="AM396" s="172"/>
      <c r="AN396" s="106">
        <f>AM396+AL396</f>
        <v>2900</v>
      </c>
      <c r="AO396" s="106">
        <v>17800</v>
      </c>
      <c r="AP396" s="113">
        <v>2892</v>
      </c>
      <c r="AQ396" s="243">
        <v>3000</v>
      </c>
      <c r="AR396" s="275"/>
      <c r="AS396" s="244">
        <f t="shared" si="342"/>
        <v>3000</v>
      </c>
      <c r="AT396" s="156">
        <f t="shared" si="373"/>
        <v>-956</v>
      </c>
      <c r="AU396" s="103"/>
      <c r="AV396" s="103"/>
    </row>
    <row r="397" spans="1:48" ht="12.75" hidden="1">
      <c r="A397" s="31"/>
      <c r="B397" s="27">
        <v>4580</v>
      </c>
      <c r="C397" s="18" t="s">
        <v>136</v>
      </c>
      <c r="D397" s="104"/>
      <c r="E397" s="106"/>
      <c r="F397" s="106"/>
      <c r="G397" s="109"/>
      <c r="H397" s="106"/>
      <c r="I397" s="109"/>
      <c r="J397" s="106"/>
      <c r="K397" s="110"/>
      <c r="L397" s="106"/>
      <c r="M397" s="109"/>
      <c r="N397" s="106"/>
      <c r="O397" s="106"/>
      <c r="P397" s="106"/>
      <c r="Q397" s="109"/>
      <c r="R397" s="106"/>
      <c r="S397" s="109"/>
      <c r="T397" s="106"/>
      <c r="U397" s="109">
        <v>403</v>
      </c>
      <c r="V397" s="106">
        <f>U397+T397</f>
        <v>403</v>
      </c>
      <c r="W397" s="109"/>
      <c r="X397" s="106">
        <f>W397+V397</f>
        <v>403</v>
      </c>
      <c r="Y397" s="109"/>
      <c r="Z397" s="106">
        <f>Y397+X397</f>
        <v>403</v>
      </c>
      <c r="AA397" s="109"/>
      <c r="AB397" s="106">
        <f>AA397+Z397</f>
        <v>403</v>
      </c>
      <c r="AC397" s="109"/>
      <c r="AD397" s="106">
        <f>AC397+AB397</f>
        <v>403</v>
      </c>
      <c r="AE397" s="109"/>
      <c r="AF397" s="106">
        <f>AE397+AD397</f>
        <v>403</v>
      </c>
      <c r="AG397" s="147"/>
      <c r="AH397" s="106">
        <f>AG397+AF397</f>
        <v>403</v>
      </c>
      <c r="AI397" s="109"/>
      <c r="AJ397" s="106">
        <f>AI397+AH397</f>
        <v>403</v>
      </c>
      <c r="AK397" s="109"/>
      <c r="AL397" s="106">
        <f>AK397+AJ397</f>
        <v>403</v>
      </c>
      <c r="AM397" s="109"/>
      <c r="AN397" s="106">
        <f>AM397+AL397</f>
        <v>403</v>
      </c>
      <c r="AO397" s="106">
        <v>0</v>
      </c>
      <c r="AP397" s="113">
        <v>402</v>
      </c>
      <c r="AQ397" s="243">
        <v>0</v>
      </c>
      <c r="AR397" s="275"/>
      <c r="AS397" s="244">
        <f t="shared" si="342"/>
        <v>0</v>
      </c>
      <c r="AT397" s="103"/>
      <c r="AU397" s="103"/>
      <c r="AV397" s="103"/>
    </row>
    <row r="398" spans="1:48" ht="12.75" hidden="1">
      <c r="A398" s="31"/>
      <c r="B398" s="27">
        <v>6060</v>
      </c>
      <c r="C398" s="18" t="s">
        <v>61</v>
      </c>
      <c r="D398" s="104"/>
      <c r="E398" s="106"/>
      <c r="F398" s="106"/>
      <c r="G398" s="109"/>
      <c r="H398" s="106"/>
      <c r="I398" s="109"/>
      <c r="J398" s="106"/>
      <c r="K398" s="110"/>
      <c r="L398" s="106"/>
      <c r="M398" s="109"/>
      <c r="N398" s="106"/>
      <c r="O398" s="106"/>
      <c r="P398" s="106"/>
      <c r="Q398" s="109"/>
      <c r="R398" s="106"/>
      <c r="S398" s="109"/>
      <c r="T398" s="106"/>
      <c r="U398" s="109">
        <v>25000</v>
      </c>
      <c r="V398" s="106">
        <f>U398+T398</f>
        <v>25000</v>
      </c>
      <c r="W398" s="109"/>
      <c r="X398" s="106">
        <f>W398+V398</f>
        <v>25000</v>
      </c>
      <c r="Y398" s="109"/>
      <c r="Z398" s="106">
        <f>Y398+X398</f>
        <v>25000</v>
      </c>
      <c r="AA398" s="109"/>
      <c r="AB398" s="106">
        <f>AA398+Z398</f>
        <v>25000</v>
      </c>
      <c r="AC398" s="109"/>
      <c r="AD398" s="106">
        <f>AC398+AB398</f>
        <v>25000</v>
      </c>
      <c r="AE398" s="109"/>
      <c r="AF398" s="106">
        <f>AE398+AD398</f>
        <v>25000</v>
      </c>
      <c r="AG398" s="147"/>
      <c r="AH398" s="106">
        <f>AG398+AF398</f>
        <v>25000</v>
      </c>
      <c r="AI398" s="109"/>
      <c r="AJ398" s="106">
        <f>AI398+AH398</f>
        <v>25000</v>
      </c>
      <c r="AK398" s="109"/>
      <c r="AL398" s="106">
        <f>AK398+AJ398</f>
        <v>25000</v>
      </c>
      <c r="AM398" s="109"/>
      <c r="AN398" s="106">
        <f>AM398+AL398</f>
        <v>25000</v>
      </c>
      <c r="AO398" s="106">
        <v>1026</v>
      </c>
      <c r="AP398" s="113">
        <v>0</v>
      </c>
      <c r="AQ398" s="243">
        <v>0</v>
      </c>
      <c r="AR398" s="275"/>
      <c r="AS398" s="244">
        <f t="shared" si="342"/>
        <v>0</v>
      </c>
      <c r="AT398" s="103"/>
      <c r="AU398" s="103"/>
      <c r="AV398" s="103"/>
    </row>
    <row r="399" spans="1:48" ht="12.75" hidden="1">
      <c r="A399" s="31">
        <v>90002</v>
      </c>
      <c r="B399" s="26"/>
      <c r="C399" s="19" t="s">
        <v>97</v>
      </c>
      <c r="D399" s="190">
        <f aca="true" t="shared" si="404" ref="D399:L399">SUM(D400:D401)</f>
        <v>75000</v>
      </c>
      <c r="E399" s="190">
        <f t="shared" si="404"/>
        <v>0</v>
      </c>
      <c r="F399" s="190">
        <f t="shared" si="404"/>
        <v>75000</v>
      </c>
      <c r="G399" s="190">
        <f t="shared" si="404"/>
        <v>0</v>
      </c>
      <c r="H399" s="190">
        <f t="shared" si="404"/>
        <v>75000</v>
      </c>
      <c r="I399" s="190">
        <f>SUM(I400:I401)</f>
        <v>0</v>
      </c>
      <c r="J399" s="190">
        <f>SUM(J400:J401)</f>
        <v>75000</v>
      </c>
      <c r="K399" s="190">
        <f t="shared" si="404"/>
        <v>0</v>
      </c>
      <c r="L399" s="190">
        <f t="shared" si="404"/>
        <v>75000</v>
      </c>
      <c r="M399" s="190">
        <f>SUM(M400:M401)</f>
        <v>0</v>
      </c>
      <c r="N399" s="190">
        <f>SUM(N400:N401)</f>
        <v>75000</v>
      </c>
      <c r="O399" s="190"/>
      <c r="P399" s="190">
        <f aca="true" t="shared" si="405" ref="P399:V399">SUM(P400:P401)</f>
        <v>75000</v>
      </c>
      <c r="Q399" s="190">
        <f t="shared" si="405"/>
        <v>0</v>
      </c>
      <c r="R399" s="190">
        <f t="shared" si="405"/>
        <v>75000</v>
      </c>
      <c r="S399" s="190">
        <f t="shared" si="405"/>
        <v>0</v>
      </c>
      <c r="T399" s="190">
        <f t="shared" si="405"/>
        <v>75000</v>
      </c>
      <c r="U399" s="190">
        <f t="shared" si="405"/>
        <v>0</v>
      </c>
      <c r="V399" s="190">
        <f t="shared" si="405"/>
        <v>75000</v>
      </c>
      <c r="W399" s="190">
        <f aca="true" t="shared" si="406" ref="W399:AB399">SUM(W400:W401)</f>
        <v>0</v>
      </c>
      <c r="X399" s="190">
        <f t="shared" si="406"/>
        <v>75000</v>
      </c>
      <c r="Y399" s="190">
        <f t="shared" si="406"/>
        <v>0</v>
      </c>
      <c r="Z399" s="190">
        <f t="shared" si="406"/>
        <v>75000</v>
      </c>
      <c r="AA399" s="190">
        <f t="shared" si="406"/>
        <v>0</v>
      </c>
      <c r="AB399" s="190">
        <f t="shared" si="406"/>
        <v>75000</v>
      </c>
      <c r="AC399" s="190">
        <f aca="true" t="shared" si="407" ref="AC399:AH399">SUM(AC400:AC401)</f>
        <v>0</v>
      </c>
      <c r="AD399" s="190">
        <f t="shared" si="407"/>
        <v>75000</v>
      </c>
      <c r="AE399" s="190">
        <f t="shared" si="407"/>
        <v>0</v>
      </c>
      <c r="AF399" s="190">
        <f t="shared" si="407"/>
        <v>75000</v>
      </c>
      <c r="AG399" s="191">
        <f t="shared" si="407"/>
        <v>15530</v>
      </c>
      <c r="AH399" s="190">
        <f t="shared" si="407"/>
        <v>90530</v>
      </c>
      <c r="AI399" s="190">
        <f aca="true" t="shared" si="408" ref="AI399:AN399">SUM(AI400:AI401)</f>
        <v>0</v>
      </c>
      <c r="AJ399" s="190">
        <f t="shared" si="408"/>
        <v>90530</v>
      </c>
      <c r="AK399" s="190">
        <f t="shared" si="408"/>
        <v>0</v>
      </c>
      <c r="AL399" s="190">
        <f t="shared" si="408"/>
        <v>90530</v>
      </c>
      <c r="AM399" s="190">
        <f t="shared" si="408"/>
        <v>0</v>
      </c>
      <c r="AN399" s="190">
        <f t="shared" si="408"/>
        <v>90530</v>
      </c>
      <c r="AO399" s="190">
        <f>SUM(AO400:AO401)</f>
        <v>63479</v>
      </c>
      <c r="AP399" s="81">
        <f>SUM(AP400:AP401)</f>
        <v>57420</v>
      </c>
      <c r="AQ399" s="247">
        <f>SUM(AQ400:AQ401)</f>
        <v>129600</v>
      </c>
      <c r="AR399" s="274"/>
      <c r="AS399" s="244">
        <f t="shared" si="342"/>
        <v>129600</v>
      </c>
      <c r="AT399" s="103">
        <f t="shared" si="373"/>
        <v>13970</v>
      </c>
      <c r="AU399" s="103"/>
      <c r="AV399" s="103"/>
    </row>
    <row r="400" spans="1:48" ht="12.75" hidden="1">
      <c r="A400" s="31"/>
      <c r="B400" s="27">
        <v>4300</v>
      </c>
      <c r="C400" s="18" t="s">
        <v>15</v>
      </c>
      <c r="D400" s="104">
        <v>60000</v>
      </c>
      <c r="E400" s="106"/>
      <c r="F400" s="106">
        <f>E400+D400</f>
        <v>60000</v>
      </c>
      <c r="G400" s="109"/>
      <c r="H400" s="106">
        <f>G400+F400</f>
        <v>60000</v>
      </c>
      <c r="I400" s="109"/>
      <c r="J400" s="106">
        <f>I400+H400</f>
        <v>60000</v>
      </c>
      <c r="K400" s="110"/>
      <c r="L400" s="106">
        <f>K400+H400</f>
        <v>60000</v>
      </c>
      <c r="M400" s="109"/>
      <c r="N400" s="106">
        <f>M400+L400</f>
        <v>60000</v>
      </c>
      <c r="O400" s="106"/>
      <c r="P400" s="106">
        <f>O400+N400</f>
        <v>60000</v>
      </c>
      <c r="Q400" s="109"/>
      <c r="R400" s="106">
        <f>Q400+P400</f>
        <v>60000</v>
      </c>
      <c r="S400" s="109"/>
      <c r="T400" s="106">
        <f>S400+R400</f>
        <v>60000</v>
      </c>
      <c r="U400" s="109"/>
      <c r="V400" s="106">
        <f>U400+T400</f>
        <v>60000</v>
      </c>
      <c r="W400" s="109"/>
      <c r="X400" s="106">
        <f>W400+V400</f>
        <v>60000</v>
      </c>
      <c r="Y400" s="109"/>
      <c r="Z400" s="106">
        <f>Y400+X400</f>
        <v>60000</v>
      </c>
      <c r="AA400" s="109"/>
      <c r="AB400" s="106">
        <f>AA400+Z400</f>
        <v>60000</v>
      </c>
      <c r="AC400" s="109"/>
      <c r="AD400" s="106">
        <f>AC400+AB400</f>
        <v>60000</v>
      </c>
      <c r="AE400" s="109"/>
      <c r="AF400" s="106">
        <f>AE400+AD400</f>
        <v>60000</v>
      </c>
      <c r="AG400" s="198">
        <v>15530</v>
      </c>
      <c r="AH400" s="106">
        <f>AG400+AF400</f>
        <v>75530</v>
      </c>
      <c r="AI400" s="172"/>
      <c r="AJ400" s="106">
        <f>AI400+AH400</f>
        <v>75530</v>
      </c>
      <c r="AK400" s="172"/>
      <c r="AL400" s="106">
        <f>AK400+AJ400</f>
        <v>75530</v>
      </c>
      <c r="AM400" s="172"/>
      <c r="AN400" s="106">
        <f>AM400+AL400</f>
        <v>75530</v>
      </c>
      <c r="AO400" s="106">
        <v>63479</v>
      </c>
      <c r="AP400" s="113">
        <v>55957</v>
      </c>
      <c r="AQ400" s="243">
        <v>78000</v>
      </c>
      <c r="AR400" s="275"/>
      <c r="AS400" s="244">
        <f t="shared" si="342"/>
        <v>78000</v>
      </c>
      <c r="AT400" s="103">
        <f t="shared" si="373"/>
        <v>920.6666666666715</v>
      </c>
      <c r="AU400" s="103"/>
      <c r="AV400" s="103"/>
    </row>
    <row r="401" spans="1:48" ht="39.75" customHeight="1" hidden="1">
      <c r="A401" s="21"/>
      <c r="B401" s="27">
        <v>6659</v>
      </c>
      <c r="C401" s="18" t="s">
        <v>8</v>
      </c>
      <c r="D401" s="104">
        <v>15000</v>
      </c>
      <c r="E401" s="106"/>
      <c r="F401" s="106">
        <f>E401+D401</f>
        <v>15000</v>
      </c>
      <c r="G401" s="109"/>
      <c r="H401" s="106">
        <f>G401+F401</f>
        <v>15000</v>
      </c>
      <c r="I401" s="109"/>
      <c r="J401" s="106">
        <f>I401+H401</f>
        <v>15000</v>
      </c>
      <c r="K401" s="110"/>
      <c r="L401" s="106">
        <f>K401+H401</f>
        <v>15000</v>
      </c>
      <c r="M401" s="109"/>
      <c r="N401" s="106">
        <f>M401+L401</f>
        <v>15000</v>
      </c>
      <c r="O401" s="106"/>
      <c r="P401" s="106">
        <f>O401+N401</f>
        <v>15000</v>
      </c>
      <c r="Q401" s="109"/>
      <c r="R401" s="106">
        <f>Q401+P401</f>
        <v>15000</v>
      </c>
      <c r="S401" s="109"/>
      <c r="T401" s="106">
        <f>S401+R401</f>
        <v>15000</v>
      </c>
      <c r="U401" s="109"/>
      <c r="V401" s="106">
        <f>U401+T401</f>
        <v>15000</v>
      </c>
      <c r="W401" s="109"/>
      <c r="X401" s="106">
        <f>W401+V401</f>
        <v>15000</v>
      </c>
      <c r="Y401" s="109"/>
      <c r="Z401" s="106">
        <f>Y401+X401</f>
        <v>15000</v>
      </c>
      <c r="AA401" s="109"/>
      <c r="AB401" s="106">
        <f>AA401+Z401</f>
        <v>15000</v>
      </c>
      <c r="AC401" s="109"/>
      <c r="AD401" s="106">
        <f>AC401+AB401</f>
        <v>15000</v>
      </c>
      <c r="AE401" s="109"/>
      <c r="AF401" s="106">
        <f>AE401+AD401</f>
        <v>15000</v>
      </c>
      <c r="AG401" s="147"/>
      <c r="AH401" s="106">
        <f>AG401+AF401</f>
        <v>15000</v>
      </c>
      <c r="AI401" s="109"/>
      <c r="AJ401" s="106">
        <f>AI401+AH401</f>
        <v>15000</v>
      </c>
      <c r="AK401" s="109"/>
      <c r="AL401" s="106">
        <f>AK401+AJ401</f>
        <v>15000</v>
      </c>
      <c r="AM401" s="109"/>
      <c r="AN401" s="106">
        <f>AM401+AL401</f>
        <v>15000</v>
      </c>
      <c r="AO401" s="106">
        <v>0</v>
      </c>
      <c r="AP401" s="113">
        <v>1463</v>
      </c>
      <c r="AQ401" s="243">
        <f>11600+40000</f>
        <v>51600</v>
      </c>
      <c r="AR401" s="275"/>
      <c r="AS401" s="244">
        <f t="shared" si="342"/>
        <v>51600</v>
      </c>
      <c r="AT401" s="103">
        <f t="shared" si="373"/>
        <v>13049.333333333334</v>
      </c>
      <c r="AU401" s="103"/>
      <c r="AV401" s="103"/>
    </row>
    <row r="402" spans="1:48" ht="12.75" hidden="1">
      <c r="A402" s="31">
        <v>90003</v>
      </c>
      <c r="B402" s="26"/>
      <c r="C402" s="19" t="s">
        <v>98</v>
      </c>
      <c r="D402" s="190">
        <f aca="true" t="shared" si="409" ref="D402:X402">SUM(D404)</f>
        <v>25000</v>
      </c>
      <c r="E402" s="190">
        <f t="shared" si="409"/>
        <v>0</v>
      </c>
      <c r="F402" s="190">
        <f t="shared" si="409"/>
        <v>25000</v>
      </c>
      <c r="G402" s="190">
        <f t="shared" si="409"/>
        <v>0</v>
      </c>
      <c r="H402" s="190">
        <f t="shared" si="409"/>
        <v>25000</v>
      </c>
      <c r="I402" s="190">
        <f t="shared" si="409"/>
        <v>0</v>
      </c>
      <c r="J402" s="190">
        <f t="shared" si="409"/>
        <v>25000</v>
      </c>
      <c r="K402" s="190">
        <f t="shared" si="409"/>
        <v>0</v>
      </c>
      <c r="L402" s="190">
        <f t="shared" si="409"/>
        <v>25000</v>
      </c>
      <c r="M402" s="190">
        <f t="shared" si="409"/>
        <v>0</v>
      </c>
      <c r="N402" s="190">
        <f t="shared" si="409"/>
        <v>25000</v>
      </c>
      <c r="O402" s="190"/>
      <c r="P402" s="190">
        <f t="shared" si="409"/>
        <v>25000</v>
      </c>
      <c r="Q402" s="190">
        <f t="shared" si="409"/>
        <v>0</v>
      </c>
      <c r="R402" s="190">
        <f t="shared" si="409"/>
        <v>25000</v>
      </c>
      <c r="S402" s="190">
        <f t="shared" si="409"/>
        <v>0</v>
      </c>
      <c r="T402" s="190">
        <f t="shared" si="409"/>
        <v>25000</v>
      </c>
      <c r="U402" s="190">
        <f t="shared" si="409"/>
        <v>0</v>
      </c>
      <c r="V402" s="190">
        <f t="shared" si="409"/>
        <v>25000</v>
      </c>
      <c r="W402" s="190">
        <f t="shared" si="409"/>
        <v>0</v>
      </c>
      <c r="X402" s="190">
        <f t="shared" si="409"/>
        <v>25000</v>
      </c>
      <c r="Y402" s="190">
        <f aca="true" t="shared" si="410" ref="Y402:AD402">SUM(Y403:Y404)</f>
        <v>0</v>
      </c>
      <c r="Z402" s="190">
        <f t="shared" si="410"/>
        <v>25000</v>
      </c>
      <c r="AA402" s="190">
        <f t="shared" si="410"/>
        <v>0</v>
      </c>
      <c r="AB402" s="190">
        <f t="shared" si="410"/>
        <v>25000</v>
      </c>
      <c r="AC402" s="190">
        <f t="shared" si="410"/>
        <v>0</v>
      </c>
      <c r="AD402" s="190">
        <f t="shared" si="410"/>
        <v>25000</v>
      </c>
      <c r="AE402" s="190">
        <f aca="true" t="shared" si="411" ref="AE402:AJ402">SUM(AE403:AE404)</f>
        <v>0</v>
      </c>
      <c r="AF402" s="190">
        <f t="shared" si="411"/>
        <v>25000</v>
      </c>
      <c r="AG402" s="191">
        <f t="shared" si="411"/>
        <v>5000</v>
      </c>
      <c r="AH402" s="190">
        <f t="shared" si="411"/>
        <v>30000</v>
      </c>
      <c r="AI402" s="190">
        <f t="shared" si="411"/>
        <v>0</v>
      </c>
      <c r="AJ402" s="190">
        <f t="shared" si="411"/>
        <v>30000</v>
      </c>
      <c r="AK402" s="190">
        <f aca="true" t="shared" si="412" ref="AK402:AP402">SUM(AK403:AK404)</f>
        <v>2000</v>
      </c>
      <c r="AL402" s="190">
        <f t="shared" si="412"/>
        <v>32000</v>
      </c>
      <c r="AM402" s="190">
        <f t="shared" si="412"/>
        <v>0</v>
      </c>
      <c r="AN402" s="190">
        <f t="shared" si="412"/>
        <v>32000</v>
      </c>
      <c r="AO402" s="190">
        <f t="shared" si="412"/>
        <v>27108</v>
      </c>
      <c r="AP402" s="81">
        <f t="shared" si="412"/>
        <v>30476</v>
      </c>
      <c r="AQ402" s="247">
        <f>SUM(AQ403:AQ406)</f>
        <v>484000</v>
      </c>
      <c r="AR402" s="274"/>
      <c r="AS402" s="244">
        <f t="shared" si="342"/>
        <v>484000</v>
      </c>
      <c r="AT402" s="103">
        <f t="shared" si="373"/>
        <v>-8634.666666666664</v>
      </c>
      <c r="AU402" s="103"/>
      <c r="AV402" s="103"/>
    </row>
    <row r="403" spans="1:48" ht="12.75" hidden="1">
      <c r="A403" s="31"/>
      <c r="B403" s="27">
        <v>4210</v>
      </c>
      <c r="C403" s="18" t="s">
        <v>14</v>
      </c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09">
        <v>4400</v>
      </c>
      <c r="Z403" s="106">
        <f>Y403+X403</f>
        <v>4400</v>
      </c>
      <c r="AA403" s="109"/>
      <c r="AB403" s="106">
        <f>AA403+Z403</f>
        <v>4400</v>
      </c>
      <c r="AC403" s="109"/>
      <c r="AD403" s="106">
        <f>AC403+AB403</f>
        <v>4400</v>
      </c>
      <c r="AE403" s="109"/>
      <c r="AF403" s="106">
        <f>AE403+AD403</f>
        <v>4400</v>
      </c>
      <c r="AG403" s="147"/>
      <c r="AH403" s="106">
        <f>AG403+AF403</f>
        <v>4400</v>
      </c>
      <c r="AI403" s="109"/>
      <c r="AJ403" s="106">
        <f>AI403+AH403</f>
        <v>4400</v>
      </c>
      <c r="AK403" s="109"/>
      <c r="AL403" s="106">
        <f>AK403+AJ403</f>
        <v>4400</v>
      </c>
      <c r="AM403" s="109"/>
      <c r="AN403" s="106">
        <f>AM403+AL403</f>
        <v>4400</v>
      </c>
      <c r="AO403" s="106">
        <v>0</v>
      </c>
      <c r="AP403" s="113">
        <v>4392</v>
      </c>
      <c r="AQ403" s="243">
        <v>5000</v>
      </c>
      <c r="AR403" s="275"/>
      <c r="AS403" s="244">
        <f t="shared" si="342"/>
        <v>5000</v>
      </c>
      <c r="AT403" s="156">
        <f t="shared" si="373"/>
        <v>-1456</v>
      </c>
      <c r="AU403" s="103"/>
      <c r="AV403" s="103"/>
    </row>
    <row r="404" spans="1:50" ht="12.75" hidden="1">
      <c r="A404" s="21"/>
      <c r="B404" s="27">
        <v>4300</v>
      </c>
      <c r="C404" s="18" t="s">
        <v>15</v>
      </c>
      <c r="D404" s="104">
        <v>25000</v>
      </c>
      <c r="E404" s="106"/>
      <c r="F404" s="106">
        <f>E404+D404</f>
        <v>25000</v>
      </c>
      <c r="G404" s="109"/>
      <c r="H404" s="106">
        <f>G404+F404</f>
        <v>25000</v>
      </c>
      <c r="I404" s="109"/>
      <c r="J404" s="106">
        <f>I404+H404</f>
        <v>25000</v>
      </c>
      <c r="K404" s="110"/>
      <c r="L404" s="106">
        <f>K404+H404</f>
        <v>25000</v>
      </c>
      <c r="M404" s="109"/>
      <c r="N404" s="106">
        <f>M404+L404</f>
        <v>25000</v>
      </c>
      <c r="O404" s="106"/>
      <c r="P404" s="106">
        <f>O404+N404</f>
        <v>25000</v>
      </c>
      <c r="Q404" s="109"/>
      <c r="R404" s="106">
        <f>Q404+P404</f>
        <v>25000</v>
      </c>
      <c r="S404" s="109"/>
      <c r="T404" s="106">
        <f>S404+R404</f>
        <v>25000</v>
      </c>
      <c r="U404" s="109"/>
      <c r="V404" s="106">
        <f>U404+T404</f>
        <v>25000</v>
      </c>
      <c r="W404" s="109"/>
      <c r="X404" s="106">
        <f>W404+V404</f>
        <v>25000</v>
      </c>
      <c r="Y404" s="109">
        <v>-4400</v>
      </c>
      <c r="Z404" s="106">
        <f>Y404+X404</f>
        <v>20600</v>
      </c>
      <c r="AA404" s="109"/>
      <c r="AB404" s="106">
        <f>AA404+Z404</f>
        <v>20600</v>
      </c>
      <c r="AC404" s="109"/>
      <c r="AD404" s="106">
        <f>AC404+AB404</f>
        <v>20600</v>
      </c>
      <c r="AE404" s="109"/>
      <c r="AF404" s="106">
        <f>AE404+AD404</f>
        <v>20600</v>
      </c>
      <c r="AG404" s="198">
        <v>5000</v>
      </c>
      <c r="AH404" s="106">
        <f>AG404+AF404</f>
        <v>25600</v>
      </c>
      <c r="AI404" s="172"/>
      <c r="AJ404" s="106">
        <f>AI404+AH404</f>
        <v>25600</v>
      </c>
      <c r="AK404" s="172">
        <v>2000</v>
      </c>
      <c r="AL404" s="106">
        <f>AK404+AJ404</f>
        <v>27600</v>
      </c>
      <c r="AM404" s="172"/>
      <c r="AN404" s="106">
        <f>AM404+AL404</f>
        <v>27600</v>
      </c>
      <c r="AO404" s="106">
        <v>27108</v>
      </c>
      <c r="AP404" s="113">
        <f>23466+1187+1431</f>
        <v>26084</v>
      </c>
      <c r="AQ404" s="243">
        <v>29000</v>
      </c>
      <c r="AR404" s="275"/>
      <c r="AS404" s="244">
        <f t="shared" si="342"/>
        <v>29000</v>
      </c>
      <c r="AT404" s="156">
        <f t="shared" si="373"/>
        <v>-7178.666666666664</v>
      </c>
      <c r="AU404" s="103"/>
      <c r="AV404" s="103"/>
      <c r="AX404">
        <f>(38255.39+12010.24)/61597</f>
        <v>0.8160402292319431</v>
      </c>
    </row>
    <row r="405" spans="1:48" ht="12.75" hidden="1">
      <c r="A405" s="21"/>
      <c r="B405" s="27">
        <v>6068</v>
      </c>
      <c r="C405" s="18" t="s">
        <v>61</v>
      </c>
      <c r="D405" s="104"/>
      <c r="E405" s="106"/>
      <c r="F405" s="106"/>
      <c r="G405" s="109"/>
      <c r="H405" s="106"/>
      <c r="I405" s="109"/>
      <c r="J405" s="106"/>
      <c r="K405" s="110"/>
      <c r="L405" s="106"/>
      <c r="M405" s="109"/>
      <c r="N405" s="106"/>
      <c r="O405" s="106"/>
      <c r="P405" s="106"/>
      <c r="Q405" s="109"/>
      <c r="R405" s="106"/>
      <c r="S405" s="109"/>
      <c r="T405" s="106"/>
      <c r="U405" s="109"/>
      <c r="V405" s="106"/>
      <c r="W405" s="109"/>
      <c r="X405" s="106"/>
      <c r="Y405" s="109"/>
      <c r="Z405" s="106"/>
      <c r="AA405" s="109"/>
      <c r="AB405" s="106"/>
      <c r="AC405" s="109"/>
      <c r="AD405" s="106"/>
      <c r="AE405" s="109"/>
      <c r="AF405" s="106"/>
      <c r="AG405" s="198"/>
      <c r="AH405" s="106"/>
      <c r="AI405" s="172"/>
      <c r="AJ405" s="106"/>
      <c r="AK405" s="172"/>
      <c r="AL405" s="106"/>
      <c r="AM405" s="172"/>
      <c r="AN405" s="106"/>
      <c r="AO405" s="106"/>
      <c r="AP405" s="113"/>
      <c r="AQ405" s="243">
        <v>200000</v>
      </c>
      <c r="AR405" s="275"/>
      <c r="AS405" s="244">
        <f t="shared" si="342"/>
        <v>200000</v>
      </c>
      <c r="AT405" s="156"/>
      <c r="AU405" s="103"/>
      <c r="AV405" s="103"/>
    </row>
    <row r="406" spans="1:48" ht="12.75" hidden="1">
      <c r="A406" s="21"/>
      <c r="B406" s="27">
        <v>6069</v>
      </c>
      <c r="C406" s="18" t="s">
        <v>61</v>
      </c>
      <c r="D406" s="104"/>
      <c r="E406" s="106"/>
      <c r="F406" s="106"/>
      <c r="G406" s="109"/>
      <c r="H406" s="106"/>
      <c r="I406" s="109"/>
      <c r="J406" s="106"/>
      <c r="K406" s="110"/>
      <c r="L406" s="106"/>
      <c r="M406" s="109"/>
      <c r="N406" s="106"/>
      <c r="O406" s="106"/>
      <c r="P406" s="106"/>
      <c r="Q406" s="109"/>
      <c r="R406" s="106"/>
      <c r="S406" s="109"/>
      <c r="T406" s="106"/>
      <c r="U406" s="109"/>
      <c r="V406" s="106"/>
      <c r="W406" s="109"/>
      <c r="X406" s="106"/>
      <c r="Y406" s="109"/>
      <c r="Z406" s="106"/>
      <c r="AA406" s="109"/>
      <c r="AB406" s="106"/>
      <c r="AC406" s="109"/>
      <c r="AD406" s="106"/>
      <c r="AE406" s="109"/>
      <c r="AF406" s="106"/>
      <c r="AG406" s="198"/>
      <c r="AH406" s="106"/>
      <c r="AI406" s="172"/>
      <c r="AJ406" s="106"/>
      <c r="AK406" s="172"/>
      <c r="AL406" s="106"/>
      <c r="AM406" s="172"/>
      <c r="AN406" s="106"/>
      <c r="AO406" s="106"/>
      <c r="AP406" s="113"/>
      <c r="AQ406" s="248">
        <v>250000</v>
      </c>
      <c r="AR406" s="277"/>
      <c r="AS406" s="244">
        <f t="shared" si="342"/>
        <v>250000</v>
      </c>
      <c r="AT406" s="156"/>
      <c r="AU406" s="103"/>
      <c r="AV406" s="103"/>
    </row>
    <row r="407" spans="1:48" ht="12.75" hidden="1">
      <c r="A407" s="31">
        <v>90004</v>
      </c>
      <c r="B407" s="26"/>
      <c r="C407" s="19" t="s">
        <v>99</v>
      </c>
      <c r="D407" s="190">
        <f aca="true" t="shared" si="413" ref="D407:AJ407">SUM(D409:D409)</f>
        <v>70000</v>
      </c>
      <c r="E407" s="190">
        <f t="shared" si="413"/>
        <v>0</v>
      </c>
      <c r="F407" s="190">
        <f t="shared" si="413"/>
        <v>70000</v>
      </c>
      <c r="G407" s="190">
        <f t="shared" si="413"/>
        <v>0</v>
      </c>
      <c r="H407" s="190">
        <f t="shared" si="413"/>
        <v>70000</v>
      </c>
      <c r="I407" s="190">
        <f t="shared" si="413"/>
        <v>0</v>
      </c>
      <c r="J407" s="190">
        <f t="shared" si="413"/>
        <v>70000</v>
      </c>
      <c r="K407" s="190">
        <f t="shared" si="413"/>
        <v>0</v>
      </c>
      <c r="L407" s="190">
        <f t="shared" si="413"/>
        <v>70000</v>
      </c>
      <c r="M407" s="190">
        <f t="shared" si="413"/>
        <v>0</v>
      </c>
      <c r="N407" s="190">
        <f t="shared" si="413"/>
        <v>70000</v>
      </c>
      <c r="O407" s="190"/>
      <c r="P407" s="190">
        <f t="shared" si="413"/>
        <v>70000</v>
      </c>
      <c r="Q407" s="190">
        <f t="shared" si="413"/>
        <v>0</v>
      </c>
      <c r="R407" s="190">
        <f t="shared" si="413"/>
        <v>70000</v>
      </c>
      <c r="S407" s="190">
        <f t="shared" si="413"/>
        <v>0</v>
      </c>
      <c r="T407" s="190">
        <f t="shared" si="413"/>
        <v>70000</v>
      </c>
      <c r="U407" s="190">
        <f t="shared" si="413"/>
        <v>-8403</v>
      </c>
      <c r="V407" s="190">
        <f t="shared" si="413"/>
        <v>61597</v>
      </c>
      <c r="W407" s="190">
        <f t="shared" si="413"/>
        <v>0</v>
      </c>
      <c r="X407" s="190">
        <f t="shared" si="413"/>
        <v>61597</v>
      </c>
      <c r="Y407" s="190">
        <f t="shared" si="413"/>
        <v>0</v>
      </c>
      <c r="Z407" s="190">
        <f t="shared" si="413"/>
        <v>61597</v>
      </c>
      <c r="AA407" s="190">
        <f t="shared" si="413"/>
        <v>0</v>
      </c>
      <c r="AB407" s="190">
        <f t="shared" si="413"/>
        <v>61597</v>
      </c>
      <c r="AC407" s="190">
        <f t="shared" si="413"/>
        <v>0</v>
      </c>
      <c r="AD407" s="190">
        <f t="shared" si="413"/>
        <v>61597</v>
      </c>
      <c r="AE407" s="190">
        <f t="shared" si="413"/>
        <v>0</v>
      </c>
      <c r="AF407" s="190">
        <f t="shared" si="413"/>
        <v>61597</v>
      </c>
      <c r="AG407" s="191">
        <f t="shared" si="413"/>
        <v>0</v>
      </c>
      <c r="AH407" s="190">
        <f t="shared" si="413"/>
        <v>61597</v>
      </c>
      <c r="AI407" s="190">
        <f t="shared" si="413"/>
        <v>0</v>
      </c>
      <c r="AJ407" s="190">
        <f t="shared" si="413"/>
        <v>61597</v>
      </c>
      <c r="AK407" s="190">
        <f aca="true" t="shared" si="414" ref="AK407:AQ407">SUM(AK408:AK409)</f>
        <v>21000</v>
      </c>
      <c r="AL407" s="190">
        <f t="shared" si="414"/>
        <v>82597</v>
      </c>
      <c r="AM407" s="190">
        <f t="shared" si="414"/>
        <v>0</v>
      </c>
      <c r="AN407" s="190">
        <f t="shared" si="414"/>
        <v>82597</v>
      </c>
      <c r="AO407" s="190">
        <f t="shared" si="414"/>
        <v>78991</v>
      </c>
      <c r="AP407" s="81">
        <f t="shared" si="414"/>
        <v>66383</v>
      </c>
      <c r="AQ407" s="247">
        <f t="shared" si="414"/>
        <v>73000</v>
      </c>
      <c r="AR407" s="274"/>
      <c r="AS407" s="244">
        <f aca="true" t="shared" si="415" ref="AS407:AS467">AR407+AQ407</f>
        <v>73000</v>
      </c>
      <c r="AT407" s="103">
        <f>AN407-(AP407/3*4)</f>
        <v>-5913.6666666666715</v>
      </c>
      <c r="AU407" s="103"/>
      <c r="AV407" s="103"/>
    </row>
    <row r="408" spans="1:48" ht="12.75" hidden="1">
      <c r="A408" s="31"/>
      <c r="B408" s="27">
        <v>4210</v>
      </c>
      <c r="C408" s="18" t="s">
        <v>14</v>
      </c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B408" s="190"/>
      <c r="AC408" s="190"/>
      <c r="AD408" s="190"/>
      <c r="AE408" s="190"/>
      <c r="AF408" s="190"/>
      <c r="AG408" s="191"/>
      <c r="AH408" s="190"/>
      <c r="AI408" s="190"/>
      <c r="AJ408" s="190"/>
      <c r="AK408" s="109">
        <v>1000</v>
      </c>
      <c r="AL408" s="106">
        <f>AK408+AJ408</f>
        <v>1000</v>
      </c>
      <c r="AM408" s="109"/>
      <c r="AN408" s="106">
        <f>AM408+AL408</f>
        <v>1000</v>
      </c>
      <c r="AO408" s="106">
        <v>0</v>
      </c>
      <c r="AP408" s="113">
        <v>0</v>
      </c>
      <c r="AQ408" s="243">
        <v>1000</v>
      </c>
      <c r="AR408" s="275"/>
      <c r="AS408" s="244">
        <f t="shared" si="415"/>
        <v>1000</v>
      </c>
      <c r="AT408" s="103">
        <f>AN408-(AP408/3*4)</f>
        <v>1000</v>
      </c>
      <c r="AU408" s="103"/>
      <c r="AV408" s="103"/>
    </row>
    <row r="409" spans="1:49" ht="12.75" hidden="1">
      <c r="A409" s="21"/>
      <c r="B409" s="27">
        <v>4300</v>
      </c>
      <c r="C409" s="18" t="s">
        <v>15</v>
      </c>
      <c r="D409" s="104">
        <v>70000</v>
      </c>
      <c r="E409" s="106"/>
      <c r="F409" s="106">
        <f>E409+D409</f>
        <v>70000</v>
      </c>
      <c r="G409" s="109"/>
      <c r="H409" s="106">
        <f>G409+F409</f>
        <v>70000</v>
      </c>
      <c r="I409" s="109"/>
      <c r="J409" s="106">
        <f>I409+H409</f>
        <v>70000</v>
      </c>
      <c r="K409" s="110"/>
      <c r="L409" s="106">
        <f>K409+H409</f>
        <v>70000</v>
      </c>
      <c r="M409" s="109"/>
      <c r="N409" s="106">
        <f>M409+L409</f>
        <v>70000</v>
      </c>
      <c r="O409" s="106"/>
      <c r="P409" s="106">
        <f>O409+N409</f>
        <v>70000</v>
      </c>
      <c r="Q409" s="109"/>
      <c r="R409" s="106">
        <f>Q409+P409</f>
        <v>70000</v>
      </c>
      <c r="S409" s="109"/>
      <c r="T409" s="106">
        <f>S409+R409</f>
        <v>70000</v>
      </c>
      <c r="U409" s="109">
        <v>-8403</v>
      </c>
      <c r="V409" s="106">
        <f>U409+T409</f>
        <v>61597</v>
      </c>
      <c r="W409" s="109"/>
      <c r="X409" s="106">
        <f>W409+V409</f>
        <v>61597</v>
      </c>
      <c r="Y409" s="109"/>
      <c r="Z409" s="106">
        <f>Y409+X409</f>
        <v>61597</v>
      </c>
      <c r="AA409" s="109"/>
      <c r="AB409" s="106">
        <f>AA409+Z409</f>
        <v>61597</v>
      </c>
      <c r="AC409" s="109"/>
      <c r="AD409" s="106">
        <f>AC409+AB409</f>
        <v>61597</v>
      </c>
      <c r="AE409" s="109"/>
      <c r="AF409" s="106">
        <f>AE409+AD409</f>
        <v>61597</v>
      </c>
      <c r="AG409" s="196"/>
      <c r="AH409" s="106">
        <f>AG409+AF409</f>
        <v>61597</v>
      </c>
      <c r="AI409" s="172"/>
      <c r="AJ409" s="106">
        <f>AI409+AH409</f>
        <v>61597</v>
      </c>
      <c r="AK409" s="172">
        <v>20000</v>
      </c>
      <c r="AL409" s="106">
        <f>AK409+AJ409</f>
        <v>81597</v>
      </c>
      <c r="AM409" s="172"/>
      <c r="AN409" s="106">
        <f>AM409+AL409</f>
        <v>81597</v>
      </c>
      <c r="AO409" s="106">
        <v>78991</v>
      </c>
      <c r="AP409" s="113">
        <f>59783+6600</f>
        <v>66383</v>
      </c>
      <c r="AQ409" s="243">
        <f>82000-10000</f>
        <v>72000</v>
      </c>
      <c r="AR409" s="275"/>
      <c r="AS409" s="244">
        <f t="shared" si="415"/>
        <v>72000</v>
      </c>
      <c r="AT409" s="175" t="s">
        <v>217</v>
      </c>
      <c r="AU409" s="176"/>
      <c r="AV409" s="176"/>
      <c r="AW409" s="177"/>
    </row>
    <row r="410" spans="1:48" ht="12.75" hidden="1">
      <c r="A410" s="31">
        <v>90013</v>
      </c>
      <c r="B410" s="26"/>
      <c r="C410" s="19" t="s">
        <v>157</v>
      </c>
      <c r="D410" s="104"/>
      <c r="E410" s="106"/>
      <c r="F410" s="106"/>
      <c r="G410" s="109"/>
      <c r="H410" s="106"/>
      <c r="I410" s="109"/>
      <c r="J410" s="106"/>
      <c r="K410" s="110"/>
      <c r="L410" s="106"/>
      <c r="M410" s="109"/>
      <c r="N410" s="106"/>
      <c r="O410" s="106"/>
      <c r="P410" s="106"/>
      <c r="Q410" s="109"/>
      <c r="R410" s="106"/>
      <c r="S410" s="109"/>
      <c r="T410" s="106"/>
      <c r="U410" s="190">
        <f aca="true" t="shared" si="416" ref="U410:Z410">SUM(U411:U413)</f>
        <v>8200</v>
      </c>
      <c r="V410" s="190">
        <f t="shared" si="416"/>
        <v>8200</v>
      </c>
      <c r="W410" s="190">
        <f t="shared" si="416"/>
        <v>0</v>
      </c>
      <c r="X410" s="190">
        <f t="shared" si="416"/>
        <v>8200</v>
      </c>
      <c r="Y410" s="190">
        <f t="shared" si="416"/>
        <v>0</v>
      </c>
      <c r="Z410" s="190">
        <f t="shared" si="416"/>
        <v>8200</v>
      </c>
      <c r="AA410" s="190">
        <f aca="true" t="shared" si="417" ref="AA410:AF410">SUM(AA411:AA413)</f>
        <v>0</v>
      </c>
      <c r="AB410" s="190">
        <f t="shared" si="417"/>
        <v>8200</v>
      </c>
      <c r="AC410" s="190">
        <f t="shared" si="417"/>
        <v>0</v>
      </c>
      <c r="AD410" s="190">
        <f t="shared" si="417"/>
        <v>8200</v>
      </c>
      <c r="AE410" s="190">
        <f t="shared" si="417"/>
        <v>0</v>
      </c>
      <c r="AF410" s="190">
        <f t="shared" si="417"/>
        <v>8200</v>
      </c>
      <c r="AG410" s="191">
        <f aca="true" t="shared" si="418" ref="AG410:AL410">SUM(AG411:AG413)</f>
        <v>0</v>
      </c>
      <c r="AH410" s="190">
        <f t="shared" si="418"/>
        <v>8200</v>
      </c>
      <c r="AI410" s="190">
        <f t="shared" si="418"/>
        <v>0</v>
      </c>
      <c r="AJ410" s="190">
        <f t="shared" si="418"/>
        <v>8200</v>
      </c>
      <c r="AK410" s="190">
        <f t="shared" si="418"/>
        <v>0</v>
      </c>
      <c r="AL410" s="190">
        <f t="shared" si="418"/>
        <v>8200</v>
      </c>
      <c r="AM410" s="190">
        <f>SUM(AM411:AM413)</f>
        <v>0</v>
      </c>
      <c r="AN410" s="190">
        <f>SUM(AN411:AN413)</f>
        <v>8200</v>
      </c>
      <c r="AO410" s="190">
        <f>SUM(AO411:AO413)</f>
        <v>0</v>
      </c>
      <c r="AP410" s="81">
        <f>SUM(AP411:AP413)</f>
        <v>6471</v>
      </c>
      <c r="AQ410" s="247">
        <f>SUM(AQ411:AQ413)</f>
        <v>8300</v>
      </c>
      <c r="AR410" s="274"/>
      <c r="AS410" s="244">
        <f t="shared" si="415"/>
        <v>8300</v>
      </c>
      <c r="AT410" s="103"/>
      <c r="AU410" s="103"/>
      <c r="AV410" s="103"/>
    </row>
    <row r="411" spans="1:48" ht="12.75" hidden="1">
      <c r="A411" s="21"/>
      <c r="B411" s="27">
        <v>4210</v>
      </c>
      <c r="C411" s="18" t="s">
        <v>14</v>
      </c>
      <c r="D411" s="104"/>
      <c r="E411" s="106"/>
      <c r="F411" s="106"/>
      <c r="G411" s="109"/>
      <c r="H411" s="106"/>
      <c r="I411" s="109"/>
      <c r="J411" s="106"/>
      <c r="K411" s="110"/>
      <c r="L411" s="106"/>
      <c r="M411" s="109"/>
      <c r="N411" s="106"/>
      <c r="O411" s="106"/>
      <c r="P411" s="106"/>
      <c r="Q411" s="109"/>
      <c r="R411" s="106"/>
      <c r="S411" s="109"/>
      <c r="T411" s="106"/>
      <c r="U411" s="109">
        <v>2200</v>
      </c>
      <c r="V411" s="106">
        <f>U411+T411</f>
        <v>2200</v>
      </c>
      <c r="W411" s="109"/>
      <c r="X411" s="106">
        <f>W411+V411</f>
        <v>2200</v>
      </c>
      <c r="Y411" s="109"/>
      <c r="Z411" s="106">
        <f>Y411+X411</f>
        <v>2200</v>
      </c>
      <c r="AA411" s="109"/>
      <c r="AB411" s="106">
        <f>AA411+Z411</f>
        <v>2200</v>
      </c>
      <c r="AC411" s="109"/>
      <c r="AD411" s="106">
        <f>AC411+AB411</f>
        <v>2200</v>
      </c>
      <c r="AE411" s="109"/>
      <c r="AF411" s="106">
        <f>AE411+AD411</f>
        <v>2200</v>
      </c>
      <c r="AG411" s="147"/>
      <c r="AH411" s="106">
        <f>AG411+AF411</f>
        <v>2200</v>
      </c>
      <c r="AI411" s="172"/>
      <c r="AJ411" s="106">
        <f>AI411+AH411</f>
        <v>2200</v>
      </c>
      <c r="AK411" s="172"/>
      <c r="AL411" s="106">
        <f>AK411+AJ411</f>
        <v>2200</v>
      </c>
      <c r="AM411" s="172"/>
      <c r="AN411" s="106">
        <f>AM411+AL411</f>
        <v>2200</v>
      </c>
      <c r="AO411" s="106">
        <v>0</v>
      </c>
      <c r="AP411" s="113">
        <f>1468+219</f>
        <v>1687</v>
      </c>
      <c r="AQ411" s="243">
        <v>2300</v>
      </c>
      <c r="AR411" s="275"/>
      <c r="AS411" s="244">
        <f t="shared" si="415"/>
        <v>2300</v>
      </c>
      <c r="AT411" s="103"/>
      <c r="AU411" s="103"/>
      <c r="AV411" s="103"/>
    </row>
    <row r="412" spans="1:48" ht="12.75" hidden="1">
      <c r="A412" s="21"/>
      <c r="B412" s="27">
        <v>4270</v>
      </c>
      <c r="C412" s="18" t="s">
        <v>24</v>
      </c>
      <c r="D412" s="104"/>
      <c r="E412" s="106"/>
      <c r="F412" s="106"/>
      <c r="G412" s="109"/>
      <c r="H412" s="106"/>
      <c r="I412" s="109"/>
      <c r="J412" s="106"/>
      <c r="K412" s="110"/>
      <c r="L412" s="106"/>
      <c r="M412" s="109"/>
      <c r="N412" s="106"/>
      <c r="O412" s="106"/>
      <c r="P412" s="106"/>
      <c r="Q412" s="109"/>
      <c r="R412" s="106"/>
      <c r="S412" s="109"/>
      <c r="T412" s="106"/>
      <c r="U412" s="109"/>
      <c r="V412" s="106"/>
      <c r="W412" s="109"/>
      <c r="X412" s="106"/>
      <c r="Y412" s="109"/>
      <c r="Z412" s="106"/>
      <c r="AA412" s="109"/>
      <c r="AB412" s="106"/>
      <c r="AC412" s="109"/>
      <c r="AD412" s="106"/>
      <c r="AE412" s="109"/>
      <c r="AF412" s="106"/>
      <c r="AG412" s="147"/>
      <c r="AH412" s="106"/>
      <c r="AI412" s="172">
        <v>980</v>
      </c>
      <c r="AJ412" s="106">
        <f>AI412+AH412</f>
        <v>980</v>
      </c>
      <c r="AK412" s="172"/>
      <c r="AL412" s="106">
        <f>AK412+AJ412</f>
        <v>980</v>
      </c>
      <c r="AM412" s="172"/>
      <c r="AN412" s="106">
        <f>AM412+AL412</f>
        <v>980</v>
      </c>
      <c r="AO412" s="106">
        <v>0</v>
      </c>
      <c r="AP412" s="113">
        <v>975</v>
      </c>
      <c r="AQ412" s="243">
        <v>500</v>
      </c>
      <c r="AR412" s="275"/>
      <c r="AS412" s="244">
        <f t="shared" si="415"/>
        <v>500</v>
      </c>
      <c r="AT412" s="103"/>
      <c r="AU412" s="103"/>
      <c r="AV412" s="103"/>
    </row>
    <row r="413" spans="1:48" ht="12.75" hidden="1">
      <c r="A413" s="21"/>
      <c r="B413" s="27">
        <v>4300</v>
      </c>
      <c r="C413" s="18" t="s">
        <v>15</v>
      </c>
      <c r="D413" s="104"/>
      <c r="E413" s="106"/>
      <c r="F413" s="106">
        <f>E413+D413</f>
        <v>0</v>
      </c>
      <c r="G413" s="109"/>
      <c r="H413" s="106">
        <f>G413+F413</f>
        <v>0</v>
      </c>
      <c r="I413" s="109"/>
      <c r="J413" s="106">
        <f>I413+H413</f>
        <v>0</v>
      </c>
      <c r="K413" s="110"/>
      <c r="L413" s="106">
        <f>K413+H413</f>
        <v>0</v>
      </c>
      <c r="M413" s="109"/>
      <c r="N413" s="106">
        <f>M413+L413</f>
        <v>0</v>
      </c>
      <c r="O413" s="106"/>
      <c r="P413" s="106">
        <f>O413+N413</f>
        <v>0</v>
      </c>
      <c r="Q413" s="109"/>
      <c r="R413" s="106">
        <f>Q413+P413</f>
        <v>0</v>
      </c>
      <c r="S413" s="109"/>
      <c r="T413" s="106">
        <f>S413+R413</f>
        <v>0</v>
      </c>
      <c r="U413" s="109">
        <v>6000</v>
      </c>
      <c r="V413" s="106">
        <f>U413+T413</f>
        <v>6000</v>
      </c>
      <c r="W413" s="109"/>
      <c r="X413" s="106">
        <f>W413+V413</f>
        <v>6000</v>
      </c>
      <c r="Y413" s="109"/>
      <c r="Z413" s="106">
        <f>Y413+X413</f>
        <v>6000</v>
      </c>
      <c r="AA413" s="109"/>
      <c r="AB413" s="106">
        <f>AA413+Z413</f>
        <v>6000</v>
      </c>
      <c r="AC413" s="109"/>
      <c r="AD413" s="106">
        <f>AC413+AB413</f>
        <v>6000</v>
      </c>
      <c r="AE413" s="109"/>
      <c r="AF413" s="106">
        <f>AE413+AD413</f>
        <v>6000</v>
      </c>
      <c r="AG413" s="147"/>
      <c r="AH413" s="106">
        <f>AG413+AF413</f>
        <v>6000</v>
      </c>
      <c r="AI413" s="172">
        <v>-980</v>
      </c>
      <c r="AJ413" s="106">
        <f>AI413+AH413</f>
        <v>5020</v>
      </c>
      <c r="AK413" s="172"/>
      <c r="AL413" s="106">
        <f>AK413+AJ413</f>
        <v>5020</v>
      </c>
      <c r="AM413" s="172"/>
      <c r="AN413" s="106">
        <f>AM413+AL413</f>
        <v>5020</v>
      </c>
      <c r="AO413" s="106">
        <v>0</v>
      </c>
      <c r="AP413" s="113">
        <f>3345+464</f>
        <v>3809</v>
      </c>
      <c r="AQ413" s="243">
        <v>5500</v>
      </c>
      <c r="AR413" s="275"/>
      <c r="AS413" s="244">
        <f t="shared" si="415"/>
        <v>5500</v>
      </c>
      <c r="AT413" s="103"/>
      <c r="AU413" s="103"/>
      <c r="AV413" s="103"/>
    </row>
    <row r="414" spans="1:48" ht="12.75" hidden="1">
      <c r="A414" s="31">
        <v>90015</v>
      </c>
      <c r="B414" s="26"/>
      <c r="C414" s="19" t="s">
        <v>100</v>
      </c>
      <c r="D414" s="190">
        <f aca="true" t="shared" si="419" ref="D414:L414">SUM(D415:D417)</f>
        <v>620000</v>
      </c>
      <c r="E414" s="190">
        <f t="shared" si="419"/>
        <v>0</v>
      </c>
      <c r="F414" s="190">
        <f t="shared" si="419"/>
        <v>620000</v>
      </c>
      <c r="G414" s="190">
        <f t="shared" si="419"/>
        <v>0</v>
      </c>
      <c r="H414" s="190">
        <f t="shared" si="419"/>
        <v>620000</v>
      </c>
      <c r="I414" s="190">
        <f>SUM(I415:I417)</f>
        <v>0</v>
      </c>
      <c r="J414" s="190">
        <f>SUM(J415:J417)</f>
        <v>620000</v>
      </c>
      <c r="K414" s="190">
        <f t="shared" si="419"/>
        <v>0</v>
      </c>
      <c r="L414" s="190">
        <f t="shared" si="419"/>
        <v>620000</v>
      </c>
      <c r="M414" s="190">
        <f>SUM(M415:M417)</f>
        <v>0</v>
      </c>
      <c r="N414" s="190">
        <f>SUM(N415:N417)</f>
        <v>620000</v>
      </c>
      <c r="O414" s="190"/>
      <c r="P414" s="190">
        <f aca="true" t="shared" si="420" ref="P414:V414">SUM(P415:P417)</f>
        <v>620000</v>
      </c>
      <c r="Q414" s="190">
        <f t="shared" si="420"/>
        <v>0</v>
      </c>
      <c r="R414" s="190">
        <f t="shared" si="420"/>
        <v>620000</v>
      </c>
      <c r="S414" s="190">
        <f t="shared" si="420"/>
        <v>0</v>
      </c>
      <c r="T414" s="190">
        <f t="shared" si="420"/>
        <v>620000</v>
      </c>
      <c r="U414" s="190">
        <f t="shared" si="420"/>
        <v>0</v>
      </c>
      <c r="V414" s="190">
        <f t="shared" si="420"/>
        <v>620000</v>
      </c>
      <c r="W414" s="190">
        <f aca="true" t="shared" si="421" ref="W414:AB414">SUM(W415:W417)</f>
        <v>0</v>
      </c>
      <c r="X414" s="190">
        <f t="shared" si="421"/>
        <v>620000</v>
      </c>
      <c r="Y414" s="190">
        <f t="shared" si="421"/>
        <v>0</v>
      </c>
      <c r="Z414" s="190">
        <f t="shared" si="421"/>
        <v>620000</v>
      </c>
      <c r="AA414" s="190">
        <f t="shared" si="421"/>
        <v>0</v>
      </c>
      <c r="AB414" s="190">
        <f t="shared" si="421"/>
        <v>620000</v>
      </c>
      <c r="AC414" s="190">
        <f aca="true" t="shared" si="422" ref="AC414:AH414">SUM(AC415:AC417)</f>
        <v>0</v>
      </c>
      <c r="AD414" s="190">
        <f t="shared" si="422"/>
        <v>620000</v>
      </c>
      <c r="AE414" s="190">
        <f t="shared" si="422"/>
        <v>0</v>
      </c>
      <c r="AF414" s="190">
        <f t="shared" si="422"/>
        <v>620000</v>
      </c>
      <c r="AG414" s="191">
        <f t="shared" si="422"/>
        <v>0</v>
      </c>
      <c r="AH414" s="190">
        <f t="shared" si="422"/>
        <v>620000</v>
      </c>
      <c r="AI414" s="190">
        <f aca="true" t="shared" si="423" ref="AI414:AN414">SUM(AI415:AI417)</f>
        <v>0</v>
      </c>
      <c r="AJ414" s="190">
        <f t="shared" si="423"/>
        <v>620000</v>
      </c>
      <c r="AK414" s="190">
        <f t="shared" si="423"/>
        <v>156000</v>
      </c>
      <c r="AL414" s="190">
        <f t="shared" si="423"/>
        <v>776000</v>
      </c>
      <c r="AM414" s="190">
        <f t="shared" si="423"/>
        <v>0</v>
      </c>
      <c r="AN414" s="190">
        <f t="shared" si="423"/>
        <v>776000</v>
      </c>
      <c r="AO414" s="190">
        <f>SUM(AO415:AO417)</f>
        <v>438779</v>
      </c>
      <c r="AP414" s="81">
        <f>SUM(AP415:AP417)</f>
        <v>384250</v>
      </c>
      <c r="AQ414" s="247">
        <f>SUM(AQ415:AQ417)</f>
        <v>610000</v>
      </c>
      <c r="AR414" s="274"/>
      <c r="AS414" s="244">
        <f t="shared" si="415"/>
        <v>610000</v>
      </c>
      <c r="AT414" s="103"/>
      <c r="AU414" s="103"/>
      <c r="AV414" s="103"/>
    </row>
    <row r="415" spans="1:50" ht="12.75" hidden="1">
      <c r="A415" s="21"/>
      <c r="B415" s="27">
        <v>4260</v>
      </c>
      <c r="C415" s="18" t="s">
        <v>43</v>
      </c>
      <c r="D415" s="104">
        <v>260000</v>
      </c>
      <c r="E415" s="106"/>
      <c r="F415" s="106">
        <f>E415+D415</f>
        <v>260000</v>
      </c>
      <c r="G415" s="109"/>
      <c r="H415" s="106">
        <f>G415+F415</f>
        <v>260000</v>
      </c>
      <c r="I415" s="109"/>
      <c r="J415" s="106">
        <f>I415+H415</f>
        <v>260000</v>
      </c>
      <c r="K415" s="110"/>
      <c r="L415" s="106">
        <f>K415+H415</f>
        <v>260000</v>
      </c>
      <c r="M415" s="109"/>
      <c r="N415" s="106">
        <f>M415+L415</f>
        <v>260000</v>
      </c>
      <c r="O415" s="106"/>
      <c r="P415" s="106">
        <f>O415+N415</f>
        <v>260000</v>
      </c>
      <c r="Q415" s="109"/>
      <c r="R415" s="106">
        <f>Q415+P415</f>
        <v>260000</v>
      </c>
      <c r="S415" s="109"/>
      <c r="T415" s="106">
        <f>S415+R415</f>
        <v>260000</v>
      </c>
      <c r="U415" s="109"/>
      <c r="V415" s="106">
        <f>U415+T415</f>
        <v>260000</v>
      </c>
      <c r="W415" s="109"/>
      <c r="X415" s="106">
        <f>W415+V415</f>
        <v>260000</v>
      </c>
      <c r="Y415" s="109"/>
      <c r="Z415" s="106">
        <f>Y415+X415</f>
        <v>260000</v>
      </c>
      <c r="AA415" s="109"/>
      <c r="AB415" s="106">
        <f>AA415+Z415</f>
        <v>260000</v>
      </c>
      <c r="AC415" s="109"/>
      <c r="AD415" s="106">
        <f>AC415+AB415</f>
        <v>260000</v>
      </c>
      <c r="AE415" s="109"/>
      <c r="AF415" s="106">
        <f>AE415+AD415</f>
        <v>260000</v>
      </c>
      <c r="AG415" s="196"/>
      <c r="AH415" s="106">
        <f>AG415+AF415</f>
        <v>260000</v>
      </c>
      <c r="AI415" s="172">
        <v>1810</v>
      </c>
      <c r="AJ415" s="106">
        <f>AI415+AH415</f>
        <v>261810</v>
      </c>
      <c r="AK415" s="172">
        <v>131000</v>
      </c>
      <c r="AL415" s="106">
        <f>AK415+AJ415</f>
        <v>392810</v>
      </c>
      <c r="AM415" s="172"/>
      <c r="AN415" s="106">
        <f>AM415+AL415</f>
        <v>392810</v>
      </c>
      <c r="AO415" s="106">
        <v>275532</v>
      </c>
      <c r="AP415" s="113">
        <v>261802</v>
      </c>
      <c r="AQ415" s="243">
        <v>410000</v>
      </c>
      <c r="AR415" s="275"/>
      <c r="AS415" s="244">
        <f t="shared" si="415"/>
        <v>410000</v>
      </c>
      <c r="AT415" s="103"/>
      <c r="AU415" s="164">
        <f>AQ415/(AP415/3*4)</f>
        <v>1.1745517604907527</v>
      </c>
      <c r="AV415" s="103"/>
      <c r="AX415" s="148">
        <f>AL415/275532.33</f>
        <v>1.4256403232245014</v>
      </c>
    </row>
    <row r="416" spans="1:48" ht="12.75" hidden="1">
      <c r="A416" s="21"/>
      <c r="B416" s="27">
        <v>4300</v>
      </c>
      <c r="C416" s="18" t="s">
        <v>15</v>
      </c>
      <c r="D416" s="104">
        <v>140000</v>
      </c>
      <c r="E416" s="106"/>
      <c r="F416" s="106">
        <f>E416+D416</f>
        <v>140000</v>
      </c>
      <c r="G416" s="109"/>
      <c r="H416" s="106">
        <f>G416+F416</f>
        <v>140000</v>
      </c>
      <c r="I416" s="109"/>
      <c r="J416" s="106">
        <f>I416+H416</f>
        <v>140000</v>
      </c>
      <c r="K416" s="110"/>
      <c r="L416" s="106">
        <f>K416+H416</f>
        <v>140000</v>
      </c>
      <c r="M416" s="109"/>
      <c r="N416" s="106">
        <f>M416+L416</f>
        <v>140000</v>
      </c>
      <c r="O416" s="106"/>
      <c r="P416" s="106">
        <f>O416+N416</f>
        <v>140000</v>
      </c>
      <c r="Q416" s="109"/>
      <c r="R416" s="106">
        <f>Q416+P416</f>
        <v>140000</v>
      </c>
      <c r="S416" s="109"/>
      <c r="T416" s="106">
        <f>S416+R416</f>
        <v>140000</v>
      </c>
      <c r="U416" s="109"/>
      <c r="V416" s="106">
        <f>U416+T416</f>
        <v>140000</v>
      </c>
      <c r="W416" s="109"/>
      <c r="X416" s="106">
        <f>W416+V416</f>
        <v>140000</v>
      </c>
      <c r="Y416" s="109"/>
      <c r="Z416" s="106">
        <f>Y416+X416</f>
        <v>140000</v>
      </c>
      <c r="AA416" s="109"/>
      <c r="AB416" s="106">
        <f>AA416+Z416</f>
        <v>140000</v>
      </c>
      <c r="AC416" s="109"/>
      <c r="AD416" s="106">
        <f>AC416+AB416</f>
        <v>140000</v>
      </c>
      <c r="AE416" s="109"/>
      <c r="AF416" s="106">
        <f>AE416+AD416</f>
        <v>140000</v>
      </c>
      <c r="AG416" s="196"/>
      <c r="AH416" s="106">
        <f>AG416+AF416</f>
        <v>140000</v>
      </c>
      <c r="AI416" s="172">
        <v>-1810</v>
      </c>
      <c r="AJ416" s="106">
        <f>AI416+AH416</f>
        <v>138190</v>
      </c>
      <c r="AK416" s="172">
        <v>25000</v>
      </c>
      <c r="AL416" s="106">
        <f>AK416+AJ416</f>
        <v>163190</v>
      </c>
      <c r="AM416" s="172"/>
      <c r="AN416" s="106">
        <f>AM416+AL416</f>
        <v>163190</v>
      </c>
      <c r="AO416" s="106">
        <v>163247</v>
      </c>
      <c r="AP416" s="113">
        <v>122448</v>
      </c>
      <c r="AQ416" s="243">
        <f>170000-20000</f>
        <v>150000</v>
      </c>
      <c r="AR416" s="275"/>
      <c r="AS416" s="244">
        <f t="shared" si="415"/>
        <v>150000</v>
      </c>
      <c r="AT416" s="103"/>
      <c r="AU416" s="103"/>
      <c r="AV416" s="103"/>
    </row>
    <row r="417" spans="1:48" ht="12.75" hidden="1">
      <c r="A417" s="21"/>
      <c r="B417" s="27">
        <v>6050</v>
      </c>
      <c r="C417" s="18" t="s">
        <v>26</v>
      </c>
      <c r="D417" s="104">
        <v>220000</v>
      </c>
      <c r="E417" s="106"/>
      <c r="F417" s="106">
        <f>E417+D417</f>
        <v>220000</v>
      </c>
      <c r="G417" s="109"/>
      <c r="H417" s="106">
        <f>G417+F417</f>
        <v>220000</v>
      </c>
      <c r="I417" s="109"/>
      <c r="J417" s="106">
        <f>I417+H417</f>
        <v>220000</v>
      </c>
      <c r="K417" s="110"/>
      <c r="L417" s="106">
        <f>K417+H417</f>
        <v>220000</v>
      </c>
      <c r="M417" s="109"/>
      <c r="N417" s="106">
        <f>M417+L417</f>
        <v>220000</v>
      </c>
      <c r="O417" s="106"/>
      <c r="P417" s="106">
        <f>O417+N417</f>
        <v>220000</v>
      </c>
      <c r="Q417" s="109"/>
      <c r="R417" s="106">
        <f>Q417+P417</f>
        <v>220000</v>
      </c>
      <c r="S417" s="109"/>
      <c r="T417" s="106">
        <f>S417+R417</f>
        <v>220000</v>
      </c>
      <c r="U417" s="109"/>
      <c r="V417" s="106">
        <f>U417+T417</f>
        <v>220000</v>
      </c>
      <c r="W417" s="109"/>
      <c r="X417" s="106">
        <f>W417+V417</f>
        <v>220000</v>
      </c>
      <c r="Y417" s="109"/>
      <c r="Z417" s="106">
        <f>Y417+X417</f>
        <v>220000</v>
      </c>
      <c r="AA417" s="109"/>
      <c r="AB417" s="106">
        <f>AA417+Z417</f>
        <v>220000</v>
      </c>
      <c r="AC417" s="109"/>
      <c r="AD417" s="106">
        <f>AC417+AB417</f>
        <v>220000</v>
      </c>
      <c r="AE417" s="109"/>
      <c r="AF417" s="106">
        <f>AE417+AD417</f>
        <v>220000</v>
      </c>
      <c r="AG417" s="147"/>
      <c r="AH417" s="106">
        <f>AG417+AF417</f>
        <v>220000</v>
      </c>
      <c r="AI417" s="109"/>
      <c r="AJ417" s="106">
        <f>AI417+AH417</f>
        <v>220000</v>
      </c>
      <c r="AK417" s="109"/>
      <c r="AL417" s="106">
        <f>AK417+AJ417</f>
        <v>220000</v>
      </c>
      <c r="AM417" s="109"/>
      <c r="AN417" s="106">
        <f>AM417+AL417</f>
        <v>220000</v>
      </c>
      <c r="AO417" s="106">
        <v>0</v>
      </c>
      <c r="AP417" s="113">
        <v>0</v>
      </c>
      <c r="AQ417" s="243">
        <v>50000</v>
      </c>
      <c r="AR417" s="275"/>
      <c r="AS417" s="244">
        <f t="shared" si="415"/>
        <v>50000</v>
      </c>
      <c r="AT417" s="103"/>
      <c r="AU417" s="103"/>
      <c r="AV417" s="103"/>
    </row>
    <row r="418" spans="1:48" ht="12.75" hidden="1">
      <c r="A418" s="31">
        <v>90017</v>
      </c>
      <c r="B418" s="26"/>
      <c r="C418" s="19" t="s">
        <v>101</v>
      </c>
      <c r="D418" s="190">
        <f aca="true" t="shared" si="424" ref="D418:AQ418">SUM(D419:D419)</f>
        <v>100000</v>
      </c>
      <c r="E418" s="190">
        <f t="shared" si="424"/>
        <v>0</v>
      </c>
      <c r="F418" s="190">
        <f t="shared" si="424"/>
        <v>100000</v>
      </c>
      <c r="G418" s="190">
        <f t="shared" si="424"/>
        <v>0</v>
      </c>
      <c r="H418" s="190">
        <f t="shared" si="424"/>
        <v>100000</v>
      </c>
      <c r="I418" s="190">
        <f t="shared" si="424"/>
        <v>0</v>
      </c>
      <c r="J418" s="190">
        <f t="shared" si="424"/>
        <v>100000</v>
      </c>
      <c r="K418" s="190">
        <f t="shared" si="424"/>
        <v>0</v>
      </c>
      <c r="L418" s="190">
        <f t="shared" si="424"/>
        <v>100000</v>
      </c>
      <c r="M418" s="190">
        <f t="shared" si="424"/>
        <v>0</v>
      </c>
      <c r="N418" s="190">
        <f t="shared" si="424"/>
        <v>100000</v>
      </c>
      <c r="O418" s="190"/>
      <c r="P418" s="190">
        <f t="shared" si="424"/>
        <v>100000</v>
      </c>
      <c r="Q418" s="190">
        <f t="shared" si="424"/>
        <v>0</v>
      </c>
      <c r="R418" s="190">
        <f t="shared" si="424"/>
        <v>100000</v>
      </c>
      <c r="S418" s="190">
        <f t="shared" si="424"/>
        <v>0</v>
      </c>
      <c r="T418" s="190">
        <f t="shared" si="424"/>
        <v>100000</v>
      </c>
      <c r="U418" s="190">
        <f t="shared" si="424"/>
        <v>0</v>
      </c>
      <c r="V418" s="190">
        <f t="shared" si="424"/>
        <v>100000</v>
      </c>
      <c r="W418" s="190">
        <f t="shared" si="424"/>
        <v>0</v>
      </c>
      <c r="X418" s="190">
        <f t="shared" si="424"/>
        <v>100000</v>
      </c>
      <c r="Y418" s="190">
        <f t="shared" si="424"/>
        <v>0</v>
      </c>
      <c r="Z418" s="190">
        <f t="shared" si="424"/>
        <v>100000</v>
      </c>
      <c r="AA418" s="190">
        <f t="shared" si="424"/>
        <v>0</v>
      </c>
      <c r="AB418" s="190">
        <f t="shared" si="424"/>
        <v>100000</v>
      </c>
      <c r="AC418" s="190">
        <f t="shared" si="424"/>
        <v>0</v>
      </c>
      <c r="AD418" s="190">
        <f t="shared" si="424"/>
        <v>100000</v>
      </c>
      <c r="AE418" s="190">
        <f t="shared" si="424"/>
        <v>0</v>
      </c>
      <c r="AF418" s="190">
        <f t="shared" si="424"/>
        <v>100000</v>
      </c>
      <c r="AG418" s="191">
        <f t="shared" si="424"/>
        <v>0</v>
      </c>
      <c r="AH418" s="190">
        <f t="shared" si="424"/>
        <v>100000</v>
      </c>
      <c r="AI418" s="190">
        <f t="shared" si="424"/>
        <v>0</v>
      </c>
      <c r="AJ418" s="190">
        <f t="shared" si="424"/>
        <v>100000</v>
      </c>
      <c r="AK418" s="190">
        <f t="shared" si="424"/>
        <v>0</v>
      </c>
      <c r="AL418" s="190">
        <f t="shared" si="424"/>
        <v>100000</v>
      </c>
      <c r="AM418" s="190">
        <f t="shared" si="424"/>
        <v>0</v>
      </c>
      <c r="AN418" s="190">
        <f t="shared" si="424"/>
        <v>100000</v>
      </c>
      <c r="AO418" s="190">
        <f t="shared" si="424"/>
        <v>20000</v>
      </c>
      <c r="AP418" s="81">
        <f t="shared" si="424"/>
        <v>10500</v>
      </c>
      <c r="AQ418" s="247">
        <f t="shared" si="424"/>
        <v>0</v>
      </c>
      <c r="AR418" s="274"/>
      <c r="AS418" s="244">
        <f t="shared" si="415"/>
        <v>0</v>
      </c>
      <c r="AT418" s="103"/>
      <c r="AU418" s="103"/>
      <c r="AV418" s="103"/>
    </row>
    <row r="419" spans="1:48" s="13" customFormat="1" ht="22.5" customHeight="1" hidden="1">
      <c r="A419" s="51"/>
      <c r="B419" s="27">
        <v>6210</v>
      </c>
      <c r="C419" s="44" t="s">
        <v>102</v>
      </c>
      <c r="D419" s="104">
        <v>100000</v>
      </c>
      <c r="E419" s="105"/>
      <c r="F419" s="106">
        <f>E419+D419</f>
        <v>100000</v>
      </c>
      <c r="G419" s="107"/>
      <c r="H419" s="106">
        <f>G419+F419</f>
        <v>100000</v>
      </c>
      <c r="I419" s="107"/>
      <c r="J419" s="106">
        <f>I419+H419</f>
        <v>100000</v>
      </c>
      <c r="K419" s="108"/>
      <c r="L419" s="106">
        <f>K419+H419</f>
        <v>100000</v>
      </c>
      <c r="M419" s="107"/>
      <c r="N419" s="106">
        <f>M419+L419</f>
        <v>100000</v>
      </c>
      <c r="O419" s="106"/>
      <c r="P419" s="106">
        <f>O419+N419</f>
        <v>100000</v>
      </c>
      <c r="Q419" s="107"/>
      <c r="R419" s="106">
        <f>Q419+P419</f>
        <v>100000</v>
      </c>
      <c r="S419" s="107"/>
      <c r="T419" s="106">
        <f>S419+R419</f>
        <v>100000</v>
      </c>
      <c r="U419" s="107"/>
      <c r="V419" s="106">
        <f>U419+T419</f>
        <v>100000</v>
      </c>
      <c r="W419" s="107"/>
      <c r="X419" s="106">
        <f>W419+V419</f>
        <v>100000</v>
      </c>
      <c r="Y419" s="107"/>
      <c r="Z419" s="106">
        <f>Y419+X419</f>
        <v>100000</v>
      </c>
      <c r="AA419" s="107"/>
      <c r="AB419" s="106">
        <f>AA419+Z419</f>
        <v>100000</v>
      </c>
      <c r="AC419" s="107"/>
      <c r="AD419" s="106">
        <f>AC419+AB419</f>
        <v>100000</v>
      </c>
      <c r="AE419" s="107"/>
      <c r="AF419" s="106">
        <f>AE419+AD419</f>
        <v>100000</v>
      </c>
      <c r="AG419" s="200"/>
      <c r="AH419" s="106">
        <f>AG419+AF419</f>
        <v>100000</v>
      </c>
      <c r="AI419" s="107"/>
      <c r="AJ419" s="106">
        <f>AI419+AH419</f>
        <v>100000</v>
      </c>
      <c r="AK419" s="107"/>
      <c r="AL419" s="106">
        <f>AK419+AJ419</f>
        <v>100000</v>
      </c>
      <c r="AM419" s="107"/>
      <c r="AN419" s="106">
        <f>AM419+AL419</f>
        <v>100000</v>
      </c>
      <c r="AO419" s="106">
        <v>20000</v>
      </c>
      <c r="AP419" s="113">
        <v>10500</v>
      </c>
      <c r="AQ419" s="253">
        <v>0</v>
      </c>
      <c r="AR419" s="281"/>
      <c r="AS419" s="244">
        <f t="shared" si="415"/>
        <v>0</v>
      </c>
      <c r="AT419" s="103"/>
      <c r="AU419" s="103"/>
      <c r="AV419" s="103"/>
    </row>
    <row r="420" spans="1:48" ht="12.75" hidden="1">
      <c r="A420" s="31">
        <v>90095</v>
      </c>
      <c r="B420" s="26"/>
      <c r="C420" s="19" t="s">
        <v>13</v>
      </c>
      <c r="D420" s="190">
        <f aca="true" t="shared" si="425" ref="D420:L420">SUM(D421:D426)</f>
        <v>62000</v>
      </c>
      <c r="E420" s="190">
        <f t="shared" si="425"/>
        <v>0</v>
      </c>
      <c r="F420" s="190">
        <f t="shared" si="425"/>
        <v>62000</v>
      </c>
      <c r="G420" s="190">
        <f t="shared" si="425"/>
        <v>0</v>
      </c>
      <c r="H420" s="190">
        <f t="shared" si="425"/>
        <v>62000</v>
      </c>
      <c r="I420" s="190">
        <f>SUM(I421:I426)</f>
        <v>0</v>
      </c>
      <c r="J420" s="190">
        <f>SUM(J421:J426)</f>
        <v>62000</v>
      </c>
      <c r="K420" s="190">
        <f t="shared" si="425"/>
        <v>0</v>
      </c>
      <c r="L420" s="190">
        <f t="shared" si="425"/>
        <v>62000</v>
      </c>
      <c r="M420" s="190">
        <f>SUM(M421:M426)</f>
        <v>0</v>
      </c>
      <c r="N420" s="190">
        <f>SUM(N421:N426)</f>
        <v>62000</v>
      </c>
      <c r="O420" s="190"/>
      <c r="P420" s="190">
        <f>SUM(P421:P426)</f>
        <v>62000</v>
      </c>
      <c r="Q420" s="190">
        <f>SUM(Q421:Q426)</f>
        <v>0</v>
      </c>
      <c r="R420" s="190">
        <f>SUM(R421:R426)</f>
        <v>62000</v>
      </c>
      <c r="S420" s="190">
        <f>SUM(S421:S426)</f>
        <v>0</v>
      </c>
      <c r="T420" s="190">
        <f>SUM(T421:T426)</f>
        <v>62000</v>
      </c>
      <c r="U420" s="190">
        <f aca="true" t="shared" si="426" ref="U420:Z420">SUM(U421:U427)</f>
        <v>12750</v>
      </c>
      <c r="V420" s="190">
        <f t="shared" si="426"/>
        <v>74750</v>
      </c>
      <c r="W420" s="190">
        <f t="shared" si="426"/>
        <v>0</v>
      </c>
      <c r="X420" s="190">
        <f t="shared" si="426"/>
        <v>74750</v>
      </c>
      <c r="Y420" s="190">
        <f t="shared" si="426"/>
        <v>0</v>
      </c>
      <c r="Z420" s="190">
        <f t="shared" si="426"/>
        <v>74750</v>
      </c>
      <c r="AA420" s="190">
        <f aca="true" t="shared" si="427" ref="AA420:AF420">SUM(AA421:AA427)</f>
        <v>0</v>
      </c>
      <c r="AB420" s="190">
        <f t="shared" si="427"/>
        <v>74750</v>
      </c>
      <c r="AC420" s="190">
        <f t="shared" si="427"/>
        <v>0</v>
      </c>
      <c r="AD420" s="190">
        <f t="shared" si="427"/>
        <v>74750</v>
      </c>
      <c r="AE420" s="190">
        <f t="shared" si="427"/>
        <v>0</v>
      </c>
      <c r="AF420" s="190">
        <f t="shared" si="427"/>
        <v>74750</v>
      </c>
      <c r="AG420" s="191">
        <f>SUM(AG421:AG427)</f>
        <v>13785</v>
      </c>
      <c r="AH420" s="190">
        <f>SUM(AH421:AH427)</f>
        <v>88535</v>
      </c>
      <c r="AI420" s="190">
        <f>SUM(AI421:AI427)</f>
        <v>0</v>
      </c>
      <c r="AJ420" s="190">
        <f>SUM(AJ421:AJ427)</f>
        <v>88535</v>
      </c>
      <c r="AK420" s="190">
        <f aca="true" t="shared" si="428" ref="AK420:AQ420">SUM(AK421:AK428)</f>
        <v>2600</v>
      </c>
      <c r="AL420" s="190">
        <f t="shared" si="428"/>
        <v>91135</v>
      </c>
      <c r="AM420" s="190">
        <f t="shared" si="428"/>
        <v>0</v>
      </c>
      <c r="AN420" s="190">
        <f t="shared" si="428"/>
        <v>91135</v>
      </c>
      <c r="AO420" s="190">
        <f t="shared" si="428"/>
        <v>68162</v>
      </c>
      <c r="AP420" s="81">
        <f t="shared" si="428"/>
        <v>70852</v>
      </c>
      <c r="AQ420" s="247">
        <f t="shared" si="428"/>
        <v>269774</v>
      </c>
      <c r="AR420" s="274"/>
      <c r="AS420" s="244">
        <f t="shared" si="415"/>
        <v>269774</v>
      </c>
      <c r="AT420" s="103"/>
      <c r="AU420" s="103"/>
      <c r="AV420" s="103"/>
    </row>
    <row r="421" spans="1:48" s="13" customFormat="1" ht="33.75" hidden="1">
      <c r="A421" s="51"/>
      <c r="B421" s="27">
        <v>2900</v>
      </c>
      <c r="C421" s="44" t="s">
        <v>103</v>
      </c>
      <c r="D421" s="104">
        <v>29000</v>
      </c>
      <c r="E421" s="105"/>
      <c r="F421" s="106">
        <f>E421+D421</f>
        <v>29000</v>
      </c>
      <c r="G421" s="107"/>
      <c r="H421" s="106">
        <f aca="true" t="shared" si="429" ref="H421:H426">G421+F421</f>
        <v>29000</v>
      </c>
      <c r="I421" s="107"/>
      <c r="J421" s="106">
        <f aca="true" t="shared" si="430" ref="J421:J426">I421+H421</f>
        <v>29000</v>
      </c>
      <c r="K421" s="108"/>
      <c r="L421" s="106">
        <f aca="true" t="shared" si="431" ref="L421:L426">K421+H421</f>
        <v>29000</v>
      </c>
      <c r="M421" s="107"/>
      <c r="N421" s="106">
        <f aca="true" t="shared" si="432" ref="N421:R426">M421+L421</f>
        <v>29000</v>
      </c>
      <c r="O421" s="106"/>
      <c r="P421" s="106">
        <f t="shared" si="432"/>
        <v>29000</v>
      </c>
      <c r="Q421" s="107"/>
      <c r="R421" s="106">
        <f t="shared" si="432"/>
        <v>29000</v>
      </c>
      <c r="S421" s="107"/>
      <c r="T421" s="106">
        <f aca="true" t="shared" si="433" ref="T421:T426">S421+R421</f>
        <v>29000</v>
      </c>
      <c r="U421" s="107"/>
      <c r="V421" s="106">
        <f aca="true" t="shared" si="434" ref="V421:V427">U421+T421</f>
        <v>29000</v>
      </c>
      <c r="W421" s="107"/>
      <c r="X421" s="106">
        <f aca="true" t="shared" si="435" ref="X421:X427">W421+V421</f>
        <v>29000</v>
      </c>
      <c r="Y421" s="107"/>
      <c r="Z421" s="106">
        <f aca="true" t="shared" si="436" ref="Z421:Z427">Y421+X421</f>
        <v>29000</v>
      </c>
      <c r="AA421" s="107"/>
      <c r="AB421" s="106">
        <f aca="true" t="shared" si="437" ref="AB421:AB427">AA421+Z421</f>
        <v>29000</v>
      </c>
      <c r="AC421" s="107"/>
      <c r="AD421" s="106">
        <f aca="true" t="shared" si="438" ref="AD421:AD427">AC421+AB421</f>
        <v>29000</v>
      </c>
      <c r="AE421" s="107"/>
      <c r="AF421" s="106">
        <f aca="true" t="shared" si="439" ref="AF421:AF427">AE421+AD421</f>
        <v>29000</v>
      </c>
      <c r="AG421" s="200"/>
      <c r="AH421" s="106">
        <f aca="true" t="shared" si="440" ref="AH421:AH427">AG421+AF421</f>
        <v>29000</v>
      </c>
      <c r="AI421" s="107"/>
      <c r="AJ421" s="106">
        <f aca="true" t="shared" si="441" ref="AJ421:AJ427">AI421+AH421</f>
        <v>29000</v>
      </c>
      <c r="AK421" s="107"/>
      <c r="AL421" s="106">
        <f aca="true" t="shared" si="442" ref="AL421:AL428">AK421+AJ421</f>
        <v>29000</v>
      </c>
      <c r="AM421" s="107"/>
      <c r="AN421" s="106">
        <f aca="true" t="shared" si="443" ref="AN421:AN428">AM421+AL421</f>
        <v>29000</v>
      </c>
      <c r="AO421" s="106">
        <v>25407</v>
      </c>
      <c r="AP421" s="113">
        <v>23409</v>
      </c>
      <c r="AQ421" s="243">
        <v>25274</v>
      </c>
      <c r="AR421" s="275"/>
      <c r="AS421" s="244">
        <f t="shared" si="415"/>
        <v>25274</v>
      </c>
      <c r="AT421" s="103"/>
      <c r="AU421" s="103">
        <f>23409/3</f>
        <v>7803</v>
      </c>
      <c r="AV421" s="103"/>
    </row>
    <row r="422" spans="1:48" ht="12.75" hidden="1">
      <c r="A422" s="21"/>
      <c r="B422" s="27">
        <v>4210</v>
      </c>
      <c r="C422" s="18" t="s">
        <v>14</v>
      </c>
      <c r="D422" s="104">
        <v>3000</v>
      </c>
      <c r="E422" s="106"/>
      <c r="F422" s="106">
        <f>E422+D422</f>
        <v>3000</v>
      </c>
      <c r="G422" s="109"/>
      <c r="H422" s="106">
        <f t="shared" si="429"/>
        <v>3000</v>
      </c>
      <c r="I422" s="109"/>
      <c r="J422" s="106">
        <f t="shared" si="430"/>
        <v>3000</v>
      </c>
      <c r="K422" s="110"/>
      <c r="L422" s="106">
        <f t="shared" si="431"/>
        <v>3000</v>
      </c>
      <c r="M422" s="109"/>
      <c r="N422" s="106">
        <f t="shared" si="432"/>
        <v>3000</v>
      </c>
      <c r="O422" s="106"/>
      <c r="P422" s="106">
        <f t="shared" si="432"/>
        <v>3000</v>
      </c>
      <c r="Q422" s="109"/>
      <c r="R422" s="106">
        <f t="shared" si="432"/>
        <v>3000</v>
      </c>
      <c r="S422" s="109"/>
      <c r="T422" s="106">
        <f t="shared" si="433"/>
        <v>3000</v>
      </c>
      <c r="U422" s="109">
        <v>-2200</v>
      </c>
      <c r="V422" s="106">
        <f t="shared" si="434"/>
        <v>800</v>
      </c>
      <c r="W422" s="109"/>
      <c r="X422" s="106">
        <f t="shared" si="435"/>
        <v>800</v>
      </c>
      <c r="Y422" s="109">
        <v>800</v>
      </c>
      <c r="Z422" s="106">
        <f t="shared" si="436"/>
        <v>1600</v>
      </c>
      <c r="AA422" s="109"/>
      <c r="AB422" s="106">
        <f t="shared" si="437"/>
        <v>1600</v>
      </c>
      <c r="AC422" s="109"/>
      <c r="AD422" s="106">
        <f t="shared" si="438"/>
        <v>1600</v>
      </c>
      <c r="AE422" s="109"/>
      <c r="AF422" s="106">
        <f t="shared" si="439"/>
        <v>1600</v>
      </c>
      <c r="AG422" s="147">
        <v>5000</v>
      </c>
      <c r="AH422" s="106">
        <f t="shared" si="440"/>
        <v>6600</v>
      </c>
      <c r="AI422" s="109"/>
      <c r="AJ422" s="106">
        <f t="shared" si="441"/>
        <v>6600</v>
      </c>
      <c r="AK422" s="109">
        <f>-1000-300</f>
        <v>-1300</v>
      </c>
      <c r="AL422" s="106">
        <f t="shared" si="442"/>
        <v>5300</v>
      </c>
      <c r="AM422" s="109"/>
      <c r="AN422" s="106">
        <f t="shared" si="443"/>
        <v>5300</v>
      </c>
      <c r="AO422" s="106">
        <v>2660</v>
      </c>
      <c r="AP422" s="113">
        <v>699</v>
      </c>
      <c r="AQ422" s="243">
        <v>3000</v>
      </c>
      <c r="AR422" s="275"/>
      <c r="AS422" s="244">
        <f t="shared" si="415"/>
        <v>3000</v>
      </c>
      <c r="AT422" s="103"/>
      <c r="AU422" s="103"/>
      <c r="AV422" s="103"/>
    </row>
    <row r="423" spans="1:48" ht="12.75" hidden="1">
      <c r="A423" s="21"/>
      <c r="B423" s="27">
        <v>4260</v>
      </c>
      <c r="C423" s="18" t="s">
        <v>43</v>
      </c>
      <c r="D423" s="104">
        <v>10000</v>
      </c>
      <c r="E423" s="106"/>
      <c r="F423" s="106">
        <f>E423+D423</f>
        <v>10000</v>
      </c>
      <c r="G423" s="109">
        <v>-2000</v>
      </c>
      <c r="H423" s="106">
        <f>G423+F423</f>
        <v>8000</v>
      </c>
      <c r="I423" s="109"/>
      <c r="J423" s="106">
        <f>I423+H423</f>
        <v>8000</v>
      </c>
      <c r="K423" s="110"/>
      <c r="L423" s="106">
        <f>K423+H423</f>
        <v>8000</v>
      </c>
      <c r="M423" s="109"/>
      <c r="N423" s="106">
        <f>M423+L423</f>
        <v>8000</v>
      </c>
      <c r="O423" s="106"/>
      <c r="P423" s="106">
        <f>O423+N423</f>
        <v>8000</v>
      </c>
      <c r="Q423" s="109"/>
      <c r="R423" s="106">
        <f>Q423+P423</f>
        <v>8000</v>
      </c>
      <c r="S423" s="109"/>
      <c r="T423" s="106">
        <f>S423+R423</f>
        <v>8000</v>
      </c>
      <c r="U423" s="109"/>
      <c r="V423" s="106">
        <f>U423+T423</f>
        <v>8000</v>
      </c>
      <c r="W423" s="109"/>
      <c r="X423" s="106">
        <f>W423+V423</f>
        <v>8000</v>
      </c>
      <c r="Y423" s="109"/>
      <c r="Z423" s="106">
        <f t="shared" si="436"/>
        <v>8000</v>
      </c>
      <c r="AA423" s="109"/>
      <c r="AB423" s="106">
        <f t="shared" si="437"/>
        <v>8000</v>
      </c>
      <c r="AC423" s="109"/>
      <c r="AD423" s="106">
        <f t="shared" si="438"/>
        <v>8000</v>
      </c>
      <c r="AE423" s="109"/>
      <c r="AF423" s="106">
        <f t="shared" si="439"/>
        <v>8000</v>
      </c>
      <c r="AG423" s="147"/>
      <c r="AH423" s="106">
        <f t="shared" si="440"/>
        <v>8000</v>
      </c>
      <c r="AI423" s="109"/>
      <c r="AJ423" s="106">
        <f t="shared" si="441"/>
        <v>8000</v>
      </c>
      <c r="AK423" s="109">
        <v>300</v>
      </c>
      <c r="AL423" s="106">
        <f t="shared" si="442"/>
        <v>8300</v>
      </c>
      <c r="AM423" s="109"/>
      <c r="AN423" s="106">
        <f t="shared" si="443"/>
        <v>8300</v>
      </c>
      <c r="AO423" s="106">
        <v>7214</v>
      </c>
      <c r="AP423" s="113">
        <f>5755+623</f>
        <v>6378</v>
      </c>
      <c r="AQ423" s="243">
        <v>11000</v>
      </c>
      <c r="AR423" s="275"/>
      <c r="AS423" s="244">
        <f t="shared" si="415"/>
        <v>11000</v>
      </c>
      <c r="AT423" s="103"/>
      <c r="AU423" s="164">
        <f>AQ423/(AP423/3*4)</f>
        <v>1.2935089369708372</v>
      </c>
      <c r="AV423" s="103"/>
    </row>
    <row r="424" spans="1:48" ht="12.75" hidden="1">
      <c r="A424" s="21"/>
      <c r="B424" s="27">
        <v>4270</v>
      </c>
      <c r="C424" s="18" t="s">
        <v>24</v>
      </c>
      <c r="D424" s="104"/>
      <c r="E424" s="106"/>
      <c r="F424" s="106"/>
      <c r="G424" s="109">
        <v>5000</v>
      </c>
      <c r="H424" s="106">
        <f t="shared" si="429"/>
        <v>5000</v>
      </c>
      <c r="I424" s="109"/>
      <c r="J424" s="106">
        <f t="shared" si="430"/>
        <v>5000</v>
      </c>
      <c r="K424" s="110"/>
      <c r="L424" s="106">
        <f t="shared" si="431"/>
        <v>5000</v>
      </c>
      <c r="M424" s="109"/>
      <c r="N424" s="106">
        <f t="shared" si="432"/>
        <v>5000</v>
      </c>
      <c r="O424" s="106"/>
      <c r="P424" s="106">
        <f t="shared" si="432"/>
        <v>5000</v>
      </c>
      <c r="Q424" s="109"/>
      <c r="R424" s="106">
        <f t="shared" si="432"/>
        <v>5000</v>
      </c>
      <c r="S424" s="109"/>
      <c r="T424" s="106">
        <f t="shared" si="433"/>
        <v>5000</v>
      </c>
      <c r="U424" s="109">
        <v>8000</v>
      </c>
      <c r="V424" s="106">
        <f t="shared" si="434"/>
        <v>13000</v>
      </c>
      <c r="W424" s="109"/>
      <c r="X424" s="106">
        <f t="shared" si="435"/>
        <v>13000</v>
      </c>
      <c r="Y424" s="109"/>
      <c r="Z424" s="106">
        <f t="shared" si="436"/>
        <v>13000</v>
      </c>
      <c r="AA424" s="109"/>
      <c r="AB424" s="106">
        <f t="shared" si="437"/>
        <v>13000</v>
      </c>
      <c r="AC424" s="109"/>
      <c r="AD424" s="106">
        <f t="shared" si="438"/>
        <v>13000</v>
      </c>
      <c r="AE424" s="109"/>
      <c r="AF424" s="106">
        <f t="shared" si="439"/>
        <v>13000</v>
      </c>
      <c r="AG424" s="147"/>
      <c r="AH424" s="106">
        <f t="shared" si="440"/>
        <v>13000</v>
      </c>
      <c r="AI424" s="109"/>
      <c r="AJ424" s="106">
        <f t="shared" si="441"/>
        <v>13000</v>
      </c>
      <c r="AK424" s="109"/>
      <c r="AL424" s="106">
        <f t="shared" si="442"/>
        <v>13000</v>
      </c>
      <c r="AM424" s="109"/>
      <c r="AN424" s="106">
        <f t="shared" si="443"/>
        <v>13000</v>
      </c>
      <c r="AO424" s="106">
        <v>8256</v>
      </c>
      <c r="AP424" s="113">
        <f>9367+896</f>
        <v>10263</v>
      </c>
      <c r="AQ424" s="243">
        <v>12000</v>
      </c>
      <c r="AR424" s="275"/>
      <c r="AS424" s="244">
        <f t="shared" si="415"/>
        <v>12000</v>
      </c>
      <c r="AT424" s="103"/>
      <c r="AU424" s="103"/>
      <c r="AV424" s="103"/>
    </row>
    <row r="425" spans="1:48" ht="12.75" hidden="1">
      <c r="A425" s="21"/>
      <c r="B425" s="27">
        <v>4300</v>
      </c>
      <c r="C425" s="18" t="s">
        <v>15</v>
      </c>
      <c r="D425" s="104">
        <v>15000</v>
      </c>
      <c r="E425" s="106"/>
      <c r="F425" s="106">
        <f>E425+D425</f>
        <v>15000</v>
      </c>
      <c r="G425" s="109"/>
      <c r="H425" s="106">
        <f t="shared" si="429"/>
        <v>15000</v>
      </c>
      <c r="I425" s="109"/>
      <c r="J425" s="106">
        <f t="shared" si="430"/>
        <v>15000</v>
      </c>
      <c r="K425" s="110"/>
      <c r="L425" s="106">
        <f t="shared" si="431"/>
        <v>15000</v>
      </c>
      <c r="M425" s="109"/>
      <c r="N425" s="106">
        <f t="shared" si="432"/>
        <v>15000</v>
      </c>
      <c r="O425" s="106"/>
      <c r="P425" s="106">
        <f t="shared" si="432"/>
        <v>15000</v>
      </c>
      <c r="Q425" s="109"/>
      <c r="R425" s="106">
        <f t="shared" si="432"/>
        <v>15000</v>
      </c>
      <c r="S425" s="109"/>
      <c r="T425" s="106">
        <f t="shared" si="433"/>
        <v>15000</v>
      </c>
      <c r="U425" s="109">
        <f>-6000+5000</f>
        <v>-1000</v>
      </c>
      <c r="V425" s="106">
        <f t="shared" si="434"/>
        <v>14000</v>
      </c>
      <c r="W425" s="109"/>
      <c r="X425" s="106">
        <f t="shared" si="435"/>
        <v>14000</v>
      </c>
      <c r="Y425" s="109">
        <v>-800</v>
      </c>
      <c r="Z425" s="106">
        <f t="shared" si="436"/>
        <v>13200</v>
      </c>
      <c r="AA425" s="109"/>
      <c r="AB425" s="106">
        <f t="shared" si="437"/>
        <v>13200</v>
      </c>
      <c r="AC425" s="109">
        <v>-1500</v>
      </c>
      <c r="AD425" s="106">
        <f t="shared" si="438"/>
        <v>11700</v>
      </c>
      <c r="AE425" s="109"/>
      <c r="AF425" s="106">
        <f t="shared" si="439"/>
        <v>11700</v>
      </c>
      <c r="AG425" s="147"/>
      <c r="AH425" s="106">
        <f t="shared" si="440"/>
        <v>11700</v>
      </c>
      <c r="AI425" s="109"/>
      <c r="AJ425" s="106">
        <f t="shared" si="441"/>
        <v>11700</v>
      </c>
      <c r="AK425" s="109">
        <v>3600</v>
      </c>
      <c r="AL425" s="106">
        <f t="shared" si="442"/>
        <v>15300</v>
      </c>
      <c r="AM425" s="109"/>
      <c r="AN425" s="106">
        <f t="shared" si="443"/>
        <v>15300</v>
      </c>
      <c r="AO425" s="106">
        <v>22703</v>
      </c>
      <c r="AP425" s="113">
        <f>11283+122+62</f>
        <v>11467</v>
      </c>
      <c r="AQ425" s="243">
        <v>15000</v>
      </c>
      <c r="AR425" s="275"/>
      <c r="AS425" s="244">
        <f t="shared" si="415"/>
        <v>15000</v>
      </c>
      <c r="AT425" s="103"/>
      <c r="AU425" s="103"/>
      <c r="AV425" s="103"/>
    </row>
    <row r="426" spans="1:48" ht="12.75" hidden="1">
      <c r="A426" s="21"/>
      <c r="B426" s="27">
        <v>4430</v>
      </c>
      <c r="C426" s="18" t="s">
        <v>16</v>
      </c>
      <c r="D426" s="104">
        <v>5000</v>
      </c>
      <c r="E426" s="106"/>
      <c r="F426" s="106">
        <f>E426+D426</f>
        <v>5000</v>
      </c>
      <c r="G426" s="109">
        <v>-3000</v>
      </c>
      <c r="H426" s="106">
        <f t="shared" si="429"/>
        <v>2000</v>
      </c>
      <c r="I426" s="109"/>
      <c r="J426" s="106">
        <f t="shared" si="430"/>
        <v>2000</v>
      </c>
      <c r="K426" s="110"/>
      <c r="L426" s="106">
        <f t="shared" si="431"/>
        <v>2000</v>
      </c>
      <c r="M426" s="109"/>
      <c r="N426" s="106">
        <f t="shared" si="432"/>
        <v>2000</v>
      </c>
      <c r="O426" s="106"/>
      <c r="P426" s="106">
        <f t="shared" si="432"/>
        <v>2000</v>
      </c>
      <c r="Q426" s="109"/>
      <c r="R426" s="106">
        <f t="shared" si="432"/>
        <v>2000</v>
      </c>
      <c r="S426" s="109"/>
      <c r="T426" s="106">
        <f t="shared" si="433"/>
        <v>2000</v>
      </c>
      <c r="U426" s="109">
        <v>0</v>
      </c>
      <c r="V426" s="106">
        <f t="shared" si="434"/>
        <v>2000</v>
      </c>
      <c r="W426" s="109">
        <v>0</v>
      </c>
      <c r="X426" s="106">
        <f t="shared" si="435"/>
        <v>2000</v>
      </c>
      <c r="Y426" s="109">
        <v>0</v>
      </c>
      <c r="Z426" s="106">
        <f t="shared" si="436"/>
        <v>2000</v>
      </c>
      <c r="AA426" s="109">
        <v>0</v>
      </c>
      <c r="AB426" s="106">
        <f t="shared" si="437"/>
        <v>2000</v>
      </c>
      <c r="AC426" s="109">
        <v>1500</v>
      </c>
      <c r="AD426" s="106">
        <f t="shared" si="438"/>
        <v>3500</v>
      </c>
      <c r="AE426" s="109"/>
      <c r="AF426" s="106">
        <f t="shared" si="439"/>
        <v>3500</v>
      </c>
      <c r="AG426" s="147"/>
      <c r="AH426" s="106">
        <f t="shared" si="440"/>
        <v>3500</v>
      </c>
      <c r="AI426" s="109"/>
      <c r="AJ426" s="106">
        <f t="shared" si="441"/>
        <v>3500</v>
      </c>
      <c r="AK426" s="109"/>
      <c r="AL426" s="106">
        <f t="shared" si="442"/>
        <v>3500</v>
      </c>
      <c r="AM426" s="109"/>
      <c r="AN426" s="106">
        <f t="shared" si="443"/>
        <v>3500</v>
      </c>
      <c r="AO426" s="106">
        <f>1909+13</f>
        <v>1922</v>
      </c>
      <c r="AP426" s="113">
        <v>1905</v>
      </c>
      <c r="AQ426" s="243">
        <v>3500</v>
      </c>
      <c r="AR426" s="275"/>
      <c r="AS426" s="244">
        <f t="shared" si="415"/>
        <v>3500</v>
      </c>
      <c r="AT426" s="103"/>
      <c r="AU426" s="103">
        <f>5469.75*4</f>
        <v>21879</v>
      </c>
      <c r="AV426" s="103"/>
    </row>
    <row r="427" spans="1:48" ht="12.75" hidden="1">
      <c r="A427" s="21"/>
      <c r="B427" s="27">
        <v>6058</v>
      </c>
      <c r="C427" s="18" t="s">
        <v>61</v>
      </c>
      <c r="D427" s="104"/>
      <c r="E427" s="105"/>
      <c r="F427" s="106"/>
      <c r="G427" s="109"/>
      <c r="H427" s="106"/>
      <c r="I427" s="109"/>
      <c r="J427" s="106"/>
      <c r="K427" s="110"/>
      <c r="L427" s="106"/>
      <c r="M427" s="109"/>
      <c r="N427" s="106"/>
      <c r="O427" s="106"/>
      <c r="P427" s="106"/>
      <c r="Q427" s="109"/>
      <c r="R427" s="106"/>
      <c r="S427" s="109"/>
      <c r="T427" s="106"/>
      <c r="U427" s="109">
        <v>7950</v>
      </c>
      <c r="V427" s="106">
        <f t="shared" si="434"/>
        <v>7950</v>
      </c>
      <c r="W427" s="109"/>
      <c r="X427" s="106">
        <f t="shared" si="435"/>
        <v>7950</v>
      </c>
      <c r="Y427" s="109"/>
      <c r="Z427" s="106">
        <f t="shared" si="436"/>
        <v>7950</v>
      </c>
      <c r="AA427" s="109"/>
      <c r="AB427" s="106">
        <f t="shared" si="437"/>
        <v>7950</v>
      </c>
      <c r="AC427" s="109"/>
      <c r="AD427" s="106">
        <f t="shared" si="438"/>
        <v>7950</v>
      </c>
      <c r="AE427" s="109"/>
      <c r="AF427" s="106">
        <f t="shared" si="439"/>
        <v>7950</v>
      </c>
      <c r="AG427" s="147">
        <v>8785</v>
      </c>
      <c r="AH427" s="106">
        <f t="shared" si="440"/>
        <v>16735</v>
      </c>
      <c r="AI427" s="109"/>
      <c r="AJ427" s="106">
        <f t="shared" si="441"/>
        <v>16735</v>
      </c>
      <c r="AK427" s="109"/>
      <c r="AL427" s="106">
        <f t="shared" si="442"/>
        <v>16735</v>
      </c>
      <c r="AM427" s="109"/>
      <c r="AN427" s="106">
        <f t="shared" si="443"/>
        <v>16735</v>
      </c>
      <c r="AO427" s="106">
        <v>0</v>
      </c>
      <c r="AP427" s="113">
        <v>16731</v>
      </c>
      <c r="AQ427" s="243">
        <v>115000</v>
      </c>
      <c r="AR427" s="275"/>
      <c r="AS427" s="244">
        <f t="shared" si="415"/>
        <v>115000</v>
      </c>
      <c r="AT427" s="103"/>
      <c r="AU427" s="103"/>
      <c r="AV427" s="103"/>
    </row>
    <row r="428" spans="1:48" ht="12.75" hidden="1">
      <c r="A428" s="21"/>
      <c r="B428" s="27">
        <v>6059</v>
      </c>
      <c r="C428" s="18" t="s">
        <v>61</v>
      </c>
      <c r="D428" s="104"/>
      <c r="E428" s="105"/>
      <c r="F428" s="106"/>
      <c r="G428" s="109"/>
      <c r="H428" s="106"/>
      <c r="I428" s="109"/>
      <c r="J428" s="106"/>
      <c r="K428" s="110"/>
      <c r="L428" s="106"/>
      <c r="M428" s="109"/>
      <c r="N428" s="106"/>
      <c r="O428" s="106"/>
      <c r="P428" s="106"/>
      <c r="Q428" s="109"/>
      <c r="R428" s="106"/>
      <c r="S428" s="109"/>
      <c r="T428" s="106"/>
      <c r="U428" s="109"/>
      <c r="V428" s="106"/>
      <c r="W428" s="109"/>
      <c r="X428" s="106"/>
      <c r="Y428" s="109"/>
      <c r="Z428" s="106"/>
      <c r="AA428" s="109"/>
      <c r="AB428" s="106"/>
      <c r="AC428" s="109"/>
      <c r="AD428" s="106"/>
      <c r="AE428" s="109"/>
      <c r="AF428" s="106"/>
      <c r="AG428" s="147"/>
      <c r="AH428" s="106"/>
      <c r="AI428" s="109"/>
      <c r="AJ428" s="106"/>
      <c r="AK428" s="109"/>
      <c r="AL428" s="106">
        <f t="shared" si="442"/>
        <v>0</v>
      </c>
      <c r="AM428" s="109"/>
      <c r="AN428" s="106">
        <f t="shared" si="443"/>
        <v>0</v>
      </c>
      <c r="AO428" s="106">
        <f>AN428+AM428</f>
        <v>0</v>
      </c>
      <c r="AP428" s="113">
        <f>AO428+AN428</f>
        <v>0</v>
      </c>
      <c r="AQ428" s="243">
        <v>85000</v>
      </c>
      <c r="AR428" s="275"/>
      <c r="AS428" s="244">
        <f t="shared" si="415"/>
        <v>85000</v>
      </c>
      <c r="AT428" s="103">
        <f>AN428-(AP428/3*4)</f>
        <v>0</v>
      </c>
      <c r="AU428" s="103"/>
      <c r="AV428" s="103"/>
    </row>
    <row r="429" spans="1:48" ht="12.75" hidden="1">
      <c r="A429" s="218">
        <v>921</v>
      </c>
      <c r="B429" s="187"/>
      <c r="C429" s="188" t="s">
        <v>104</v>
      </c>
      <c r="D429" s="189">
        <f aca="true" t="shared" si="444" ref="D429:L429">SUM(D430,D435,D440,D442)</f>
        <v>2073300</v>
      </c>
      <c r="E429" s="189">
        <f t="shared" si="444"/>
        <v>0</v>
      </c>
      <c r="F429" s="189">
        <f t="shared" si="444"/>
        <v>2073300</v>
      </c>
      <c r="G429" s="189">
        <f t="shared" si="444"/>
        <v>-800000</v>
      </c>
      <c r="H429" s="189">
        <f t="shared" si="444"/>
        <v>1273300</v>
      </c>
      <c r="I429" s="189">
        <f>SUM(I430,I435,I440,I442)</f>
        <v>0</v>
      </c>
      <c r="J429" s="189">
        <f>SUM(J430,J435,J440,J442)</f>
        <v>1273300</v>
      </c>
      <c r="K429" s="189">
        <f t="shared" si="444"/>
        <v>0</v>
      </c>
      <c r="L429" s="189">
        <f t="shared" si="444"/>
        <v>1273300</v>
      </c>
      <c r="M429" s="189">
        <f>SUM(M430,M435,M440,M442)</f>
        <v>-100000</v>
      </c>
      <c r="N429" s="189">
        <f>SUM(N430,N435,N440,N442)</f>
        <v>1173300</v>
      </c>
      <c r="O429" s="189"/>
      <c r="P429" s="189">
        <f aca="true" t="shared" si="445" ref="P429:V429">SUM(P430,P435,P440,P442)</f>
        <v>1173300</v>
      </c>
      <c r="Q429" s="189">
        <f t="shared" si="445"/>
        <v>0</v>
      </c>
      <c r="R429" s="189">
        <f t="shared" si="445"/>
        <v>1173300</v>
      </c>
      <c r="S429" s="189">
        <f t="shared" si="445"/>
        <v>0</v>
      </c>
      <c r="T429" s="189">
        <f t="shared" si="445"/>
        <v>1173300</v>
      </c>
      <c r="U429" s="189">
        <f t="shared" si="445"/>
        <v>25000</v>
      </c>
      <c r="V429" s="189">
        <f t="shared" si="445"/>
        <v>1198300</v>
      </c>
      <c r="W429" s="189">
        <f aca="true" t="shared" si="446" ref="W429:AB429">SUM(W430,W435,W440,W442)</f>
        <v>0</v>
      </c>
      <c r="X429" s="189">
        <f t="shared" si="446"/>
        <v>2098300</v>
      </c>
      <c r="Y429" s="189">
        <f t="shared" si="446"/>
        <v>0</v>
      </c>
      <c r="Z429" s="189">
        <f t="shared" si="446"/>
        <v>2098300</v>
      </c>
      <c r="AA429" s="189">
        <f t="shared" si="446"/>
        <v>0</v>
      </c>
      <c r="AB429" s="189">
        <f t="shared" si="446"/>
        <v>2098300</v>
      </c>
      <c r="AC429" s="189">
        <f aca="true" t="shared" si="447" ref="AC429:AH429">SUM(AC430,AC435,AC440,AC442)</f>
        <v>0</v>
      </c>
      <c r="AD429" s="189">
        <f t="shared" si="447"/>
        <v>2098300</v>
      </c>
      <c r="AE429" s="189">
        <f t="shared" si="447"/>
        <v>0</v>
      </c>
      <c r="AF429" s="189">
        <f t="shared" si="447"/>
        <v>2098300</v>
      </c>
      <c r="AG429" s="197">
        <f t="shared" si="447"/>
        <v>0</v>
      </c>
      <c r="AH429" s="189">
        <f t="shared" si="447"/>
        <v>2098300</v>
      </c>
      <c r="AI429" s="189">
        <f aca="true" t="shared" si="448" ref="AI429:AN429">SUM(AI430,AI435,AI440,AI442)</f>
        <v>0</v>
      </c>
      <c r="AJ429" s="189">
        <f t="shared" si="448"/>
        <v>2098300</v>
      </c>
      <c r="AK429" s="189">
        <f t="shared" si="448"/>
        <v>-205000</v>
      </c>
      <c r="AL429" s="189">
        <f t="shared" si="448"/>
        <v>1893300</v>
      </c>
      <c r="AM429" s="189">
        <f t="shared" si="448"/>
        <v>0</v>
      </c>
      <c r="AN429" s="189">
        <f t="shared" si="448"/>
        <v>1893300</v>
      </c>
      <c r="AO429" s="189">
        <f>SUM(AO430,AO435,AO440,AO442)</f>
        <v>593240</v>
      </c>
      <c r="AP429" s="221">
        <f>SUM(AP430,AP435,AP440,AP442)</f>
        <v>473360</v>
      </c>
      <c r="AQ429" s="249">
        <f>SUM(AQ430,AQ435,AQ440,AQ442)</f>
        <v>1653530</v>
      </c>
      <c r="AR429" s="276"/>
      <c r="AS429" s="244">
        <f t="shared" si="415"/>
        <v>1653530</v>
      </c>
      <c r="AT429" s="103"/>
      <c r="AU429" s="103"/>
      <c r="AV429" s="103"/>
    </row>
    <row r="430" spans="1:48" ht="12.75" hidden="1">
      <c r="A430" s="31">
        <v>92109</v>
      </c>
      <c r="B430" s="26"/>
      <c r="C430" s="19" t="s">
        <v>105</v>
      </c>
      <c r="D430" s="190">
        <f>D431+D432+D433</f>
        <v>1100000</v>
      </c>
      <c r="E430" s="190">
        <f aca="true" t="shared" si="449" ref="E430:N430">E431+E432+E433</f>
        <v>0</v>
      </c>
      <c r="F430" s="190">
        <f t="shared" si="449"/>
        <v>1100000</v>
      </c>
      <c r="G430" s="190">
        <f t="shared" si="449"/>
        <v>-500000</v>
      </c>
      <c r="H430" s="190">
        <f t="shared" si="449"/>
        <v>600000</v>
      </c>
      <c r="I430" s="190">
        <f>I431+I432+I433</f>
        <v>0</v>
      </c>
      <c r="J430" s="190">
        <f>J431+J432+J433</f>
        <v>600000</v>
      </c>
      <c r="K430" s="190">
        <f t="shared" si="449"/>
        <v>0</v>
      </c>
      <c r="L430" s="190">
        <f t="shared" si="449"/>
        <v>600000</v>
      </c>
      <c r="M430" s="190">
        <f t="shared" si="449"/>
        <v>-100000</v>
      </c>
      <c r="N430" s="190">
        <f t="shared" si="449"/>
        <v>500000</v>
      </c>
      <c r="O430" s="190"/>
      <c r="P430" s="190">
        <f aca="true" t="shared" si="450" ref="P430:V430">P431+P432+P433</f>
        <v>500000</v>
      </c>
      <c r="Q430" s="190">
        <f t="shared" si="450"/>
        <v>0</v>
      </c>
      <c r="R430" s="190">
        <f t="shared" si="450"/>
        <v>500000</v>
      </c>
      <c r="S430" s="190">
        <f t="shared" si="450"/>
        <v>0</v>
      </c>
      <c r="T430" s="190">
        <f t="shared" si="450"/>
        <v>500000</v>
      </c>
      <c r="U430" s="190">
        <f t="shared" si="450"/>
        <v>20000</v>
      </c>
      <c r="V430" s="190">
        <f t="shared" si="450"/>
        <v>520000</v>
      </c>
      <c r="W430" s="190">
        <f aca="true" t="shared" si="451" ref="W430:AB430">W431+W432+W433+W434</f>
        <v>0</v>
      </c>
      <c r="X430" s="190">
        <f t="shared" si="451"/>
        <v>1420000</v>
      </c>
      <c r="Y430" s="190">
        <f t="shared" si="451"/>
        <v>0</v>
      </c>
      <c r="Z430" s="190">
        <f t="shared" si="451"/>
        <v>1420000</v>
      </c>
      <c r="AA430" s="190">
        <f t="shared" si="451"/>
        <v>0</v>
      </c>
      <c r="AB430" s="190">
        <f t="shared" si="451"/>
        <v>1420000</v>
      </c>
      <c r="AC430" s="190">
        <f aca="true" t="shared" si="452" ref="AC430:AH430">AC431+AC432+AC433+AC434</f>
        <v>0</v>
      </c>
      <c r="AD430" s="190">
        <f t="shared" si="452"/>
        <v>1420000</v>
      </c>
      <c r="AE430" s="190">
        <f t="shared" si="452"/>
        <v>0</v>
      </c>
      <c r="AF430" s="190">
        <f t="shared" si="452"/>
        <v>1420000</v>
      </c>
      <c r="AG430" s="191">
        <f t="shared" si="452"/>
        <v>0</v>
      </c>
      <c r="AH430" s="190">
        <f t="shared" si="452"/>
        <v>1420000</v>
      </c>
      <c r="AI430" s="190">
        <f aca="true" t="shared" si="453" ref="AI430:AN430">AI431+AI432+AI433+AI434</f>
        <v>0</v>
      </c>
      <c r="AJ430" s="190">
        <f t="shared" si="453"/>
        <v>1420000</v>
      </c>
      <c r="AK430" s="190">
        <f t="shared" si="453"/>
        <v>95000</v>
      </c>
      <c r="AL430" s="190">
        <f t="shared" si="453"/>
        <v>1515000</v>
      </c>
      <c r="AM430" s="190">
        <f t="shared" si="453"/>
        <v>0</v>
      </c>
      <c r="AN430" s="190">
        <f t="shared" si="453"/>
        <v>1515000</v>
      </c>
      <c r="AO430" s="190">
        <f>AO431+AO432+AO433+AO434</f>
        <v>369400</v>
      </c>
      <c r="AP430" s="81">
        <f>AP431+AP432+AP433+AP434</f>
        <v>298360</v>
      </c>
      <c r="AQ430" s="247">
        <f>AQ431+AQ432+AQ433+AQ434</f>
        <v>1123300</v>
      </c>
      <c r="AR430" s="274"/>
      <c r="AS430" s="244">
        <f t="shared" si="415"/>
        <v>1123300</v>
      </c>
      <c r="AT430" s="103"/>
      <c r="AU430" s="103"/>
      <c r="AV430" s="103"/>
    </row>
    <row r="431" spans="1:48" ht="14.25" customHeight="1" hidden="1">
      <c r="A431" s="21"/>
      <c r="B431" s="27">
        <v>2480</v>
      </c>
      <c r="C431" s="18" t="s">
        <v>106</v>
      </c>
      <c r="D431" s="104">
        <v>300000</v>
      </c>
      <c r="E431" s="106"/>
      <c r="F431" s="106">
        <f>E431+D431</f>
        <v>300000</v>
      </c>
      <c r="G431" s="109"/>
      <c r="H431" s="106">
        <f>G431+F431</f>
        <v>300000</v>
      </c>
      <c r="I431" s="109"/>
      <c r="J431" s="106">
        <f>I431+H431</f>
        <v>300000</v>
      </c>
      <c r="K431" s="110"/>
      <c r="L431" s="106">
        <f>K431+H431</f>
        <v>300000</v>
      </c>
      <c r="M431" s="109"/>
      <c r="N431" s="106">
        <f>M431+L431</f>
        <v>300000</v>
      </c>
      <c r="O431" s="106"/>
      <c r="P431" s="106">
        <f>O431+N431</f>
        <v>300000</v>
      </c>
      <c r="Q431" s="109"/>
      <c r="R431" s="106">
        <f>Q431+P431</f>
        <v>300000</v>
      </c>
      <c r="S431" s="109"/>
      <c r="T431" s="106">
        <f>S431+R431</f>
        <v>300000</v>
      </c>
      <c r="U431" s="109">
        <v>20000</v>
      </c>
      <c r="V431" s="106">
        <f>U431+T431</f>
        <v>320000</v>
      </c>
      <c r="W431" s="109"/>
      <c r="X431" s="106">
        <f>W431+V431</f>
        <v>320000</v>
      </c>
      <c r="Y431" s="109"/>
      <c r="Z431" s="106">
        <f>Y431+X431</f>
        <v>320000</v>
      </c>
      <c r="AA431" s="109"/>
      <c r="AB431" s="106">
        <f>AA431+Z431</f>
        <v>320000</v>
      </c>
      <c r="AC431" s="109"/>
      <c r="AD431" s="106">
        <f>AC431+AB431</f>
        <v>320000</v>
      </c>
      <c r="AE431" s="109"/>
      <c r="AF431" s="106">
        <f>AE431+AD431</f>
        <v>320000</v>
      </c>
      <c r="AG431" s="147"/>
      <c r="AH431" s="106">
        <f>AG431+AF431</f>
        <v>320000</v>
      </c>
      <c r="AI431" s="109"/>
      <c r="AJ431" s="106">
        <f>AI431+AH431</f>
        <v>320000</v>
      </c>
      <c r="AK431" s="109">
        <v>30000</v>
      </c>
      <c r="AL431" s="106">
        <f>AK431+AJ431</f>
        <v>350000</v>
      </c>
      <c r="AM431" s="109"/>
      <c r="AN431" s="106">
        <f>AM431+AL431</f>
        <v>350000</v>
      </c>
      <c r="AO431" s="106">
        <v>334400</v>
      </c>
      <c r="AP431" s="113">
        <v>288600</v>
      </c>
      <c r="AQ431" s="243">
        <v>380000</v>
      </c>
      <c r="AR431" s="275"/>
      <c r="AS431" s="244">
        <f t="shared" si="415"/>
        <v>380000</v>
      </c>
      <c r="AT431" s="103"/>
      <c r="AU431" s="103"/>
      <c r="AV431" s="103"/>
    </row>
    <row r="432" spans="1:48" ht="12.75" hidden="1">
      <c r="A432" s="21"/>
      <c r="B432" s="27">
        <v>6050</v>
      </c>
      <c r="C432" s="18" t="s">
        <v>26</v>
      </c>
      <c r="D432" s="104">
        <v>300000</v>
      </c>
      <c r="E432" s="105"/>
      <c r="F432" s="106">
        <f>E432+D432</f>
        <v>300000</v>
      </c>
      <c r="G432" s="109"/>
      <c r="H432" s="106">
        <f>G432+F432</f>
        <v>300000</v>
      </c>
      <c r="I432" s="109"/>
      <c r="J432" s="106">
        <f>I432+H432</f>
        <v>300000</v>
      </c>
      <c r="K432" s="110"/>
      <c r="L432" s="106">
        <f>K432+H432</f>
        <v>300000</v>
      </c>
      <c r="M432" s="109">
        <v>-100000</v>
      </c>
      <c r="N432" s="106">
        <f>M432+L432</f>
        <v>200000</v>
      </c>
      <c r="O432" s="106"/>
      <c r="P432" s="106">
        <f>O432+N432</f>
        <v>200000</v>
      </c>
      <c r="Q432" s="109"/>
      <c r="R432" s="106">
        <f>Q432+P432</f>
        <v>200000</v>
      </c>
      <c r="S432" s="109"/>
      <c r="T432" s="106">
        <f>S432+R432</f>
        <v>200000</v>
      </c>
      <c r="U432" s="109"/>
      <c r="V432" s="106">
        <f>U432+T432</f>
        <v>200000</v>
      </c>
      <c r="W432" s="109"/>
      <c r="X432" s="106">
        <f>W432+V432</f>
        <v>200000</v>
      </c>
      <c r="Y432" s="109"/>
      <c r="Z432" s="106">
        <f>Y432+X432</f>
        <v>200000</v>
      </c>
      <c r="AA432" s="109"/>
      <c r="AB432" s="106">
        <f>AA432+Z432</f>
        <v>200000</v>
      </c>
      <c r="AC432" s="109"/>
      <c r="AD432" s="106">
        <f>AC432+AB432</f>
        <v>200000</v>
      </c>
      <c r="AE432" s="109"/>
      <c r="AF432" s="106">
        <f>AE432+AD432</f>
        <v>200000</v>
      </c>
      <c r="AG432" s="147"/>
      <c r="AH432" s="106">
        <f>AG432+AF432</f>
        <v>200000</v>
      </c>
      <c r="AI432" s="109"/>
      <c r="AJ432" s="106">
        <f>AI432+AH432</f>
        <v>200000</v>
      </c>
      <c r="AK432" s="109">
        <v>65000</v>
      </c>
      <c r="AL432" s="106">
        <f>AK432+AJ432</f>
        <v>265000</v>
      </c>
      <c r="AM432" s="109"/>
      <c r="AN432" s="106">
        <f>AM432+AL432</f>
        <v>265000</v>
      </c>
      <c r="AO432" s="106">
        <v>0</v>
      </c>
      <c r="AP432" s="113">
        <v>9760</v>
      </c>
      <c r="AQ432" s="243">
        <v>0</v>
      </c>
      <c r="AR432" s="275"/>
      <c r="AS432" s="244">
        <f t="shared" si="415"/>
        <v>0</v>
      </c>
      <c r="AT432" s="103"/>
      <c r="AU432" s="103"/>
      <c r="AV432" s="103"/>
    </row>
    <row r="433" spans="1:48" ht="12.75" hidden="1">
      <c r="A433" s="21"/>
      <c r="B433" s="27">
        <v>6058</v>
      </c>
      <c r="C433" s="18" t="s">
        <v>26</v>
      </c>
      <c r="D433" s="104">
        <v>500000</v>
      </c>
      <c r="E433" s="106"/>
      <c r="F433" s="106">
        <f>E433+D433</f>
        <v>500000</v>
      </c>
      <c r="G433" s="109">
        <v>-500000</v>
      </c>
      <c r="H433" s="106">
        <f>G433+F433</f>
        <v>0</v>
      </c>
      <c r="I433" s="109"/>
      <c r="J433" s="106">
        <f>I433+H433</f>
        <v>0</v>
      </c>
      <c r="K433" s="110"/>
      <c r="L433" s="106">
        <f>K433+H433</f>
        <v>0</v>
      </c>
      <c r="M433" s="109"/>
      <c r="N433" s="106">
        <f>M433+L433</f>
        <v>0</v>
      </c>
      <c r="O433" s="106"/>
      <c r="P433" s="106">
        <f>O433+N433</f>
        <v>0</v>
      </c>
      <c r="Q433" s="109"/>
      <c r="R433" s="106">
        <f>Q433+P433</f>
        <v>0</v>
      </c>
      <c r="S433" s="109"/>
      <c r="T433" s="106">
        <f>S433+R433</f>
        <v>0</v>
      </c>
      <c r="U433" s="109"/>
      <c r="V433" s="106">
        <f>U433+T433</f>
        <v>0</v>
      </c>
      <c r="W433" s="109"/>
      <c r="X433" s="106">
        <f>W433+V433</f>
        <v>0</v>
      </c>
      <c r="Y433" s="109"/>
      <c r="Z433" s="106">
        <f>Y433+X433</f>
        <v>0</v>
      </c>
      <c r="AA433" s="109"/>
      <c r="AB433" s="106">
        <f>AA433+Z433</f>
        <v>0</v>
      </c>
      <c r="AC433" s="109"/>
      <c r="AD433" s="106">
        <f>AC433+AB433</f>
        <v>0</v>
      </c>
      <c r="AE433" s="109"/>
      <c r="AF433" s="106">
        <f>AE433+AD433</f>
        <v>0</v>
      </c>
      <c r="AG433" s="147"/>
      <c r="AH433" s="106">
        <f>AG433+AF433</f>
        <v>0</v>
      </c>
      <c r="AI433" s="109"/>
      <c r="AJ433" s="106">
        <f>AI433+AH433</f>
        <v>0</v>
      </c>
      <c r="AK433" s="109"/>
      <c r="AL433" s="106">
        <f>AK433+AJ433</f>
        <v>0</v>
      </c>
      <c r="AM433" s="109"/>
      <c r="AN433" s="106">
        <f>AM433+AL433</f>
        <v>0</v>
      </c>
      <c r="AO433" s="106">
        <v>35000</v>
      </c>
      <c r="AP433" s="113">
        <v>0</v>
      </c>
      <c r="AQ433" s="243">
        <f>500000+144975</f>
        <v>644975</v>
      </c>
      <c r="AR433" s="275"/>
      <c r="AS433" s="244">
        <f t="shared" si="415"/>
        <v>644975</v>
      </c>
      <c r="AT433" s="103"/>
      <c r="AU433" s="103"/>
      <c r="AV433" s="103"/>
    </row>
    <row r="434" spans="1:48" ht="12.75" hidden="1">
      <c r="A434" s="21"/>
      <c r="B434" s="27">
        <v>6059</v>
      </c>
      <c r="C434" s="18" t="s">
        <v>26</v>
      </c>
      <c r="D434" s="104">
        <v>900000</v>
      </c>
      <c r="E434" s="105"/>
      <c r="F434" s="106">
        <f>E434+D434</f>
        <v>900000</v>
      </c>
      <c r="G434" s="109"/>
      <c r="H434" s="106">
        <f>G434+F434</f>
        <v>900000</v>
      </c>
      <c r="I434" s="109"/>
      <c r="J434" s="106">
        <f>I434+H434</f>
        <v>900000</v>
      </c>
      <c r="K434" s="110"/>
      <c r="L434" s="106">
        <f>K434+H434</f>
        <v>900000</v>
      </c>
      <c r="M434" s="109"/>
      <c r="N434" s="106">
        <f>M434+L434</f>
        <v>900000</v>
      </c>
      <c r="O434" s="106"/>
      <c r="P434" s="106">
        <f>O434+N434</f>
        <v>900000</v>
      </c>
      <c r="Q434" s="109"/>
      <c r="R434" s="106">
        <f>Q434+P434</f>
        <v>900000</v>
      </c>
      <c r="S434" s="109"/>
      <c r="T434" s="106">
        <f>S434+R434</f>
        <v>900000</v>
      </c>
      <c r="U434" s="109"/>
      <c r="V434" s="106">
        <f>U434+T434</f>
        <v>900000</v>
      </c>
      <c r="W434" s="109"/>
      <c r="X434" s="106">
        <f>W434+V434</f>
        <v>900000</v>
      </c>
      <c r="Y434" s="109"/>
      <c r="Z434" s="106">
        <f>Y434+X434</f>
        <v>900000</v>
      </c>
      <c r="AA434" s="109"/>
      <c r="AB434" s="106">
        <f>AA434+Z434</f>
        <v>900000</v>
      </c>
      <c r="AC434" s="109"/>
      <c r="AD434" s="106">
        <f>AC434+AB434</f>
        <v>900000</v>
      </c>
      <c r="AE434" s="109"/>
      <c r="AF434" s="106">
        <f>AE434+AD434</f>
        <v>900000</v>
      </c>
      <c r="AG434" s="147"/>
      <c r="AH434" s="106">
        <f>AG434+AF434</f>
        <v>900000</v>
      </c>
      <c r="AI434" s="109"/>
      <c r="AJ434" s="106">
        <f>AI434+AH434</f>
        <v>900000</v>
      </c>
      <c r="AK434" s="109"/>
      <c r="AL434" s="106">
        <f>AK434+AJ434</f>
        <v>900000</v>
      </c>
      <c r="AM434" s="109"/>
      <c r="AN434" s="106">
        <f>AM434+AL434</f>
        <v>900000</v>
      </c>
      <c r="AO434" s="106">
        <v>0</v>
      </c>
      <c r="AP434" s="113">
        <v>0</v>
      </c>
      <c r="AQ434" s="243">
        <f>50000+48325</f>
        <v>98325</v>
      </c>
      <c r="AR434" s="275"/>
      <c r="AS434" s="244">
        <f t="shared" si="415"/>
        <v>98325</v>
      </c>
      <c r="AT434" s="103"/>
      <c r="AU434" s="103"/>
      <c r="AV434" s="103"/>
    </row>
    <row r="435" spans="1:48" ht="12.75" hidden="1">
      <c r="A435" s="31">
        <v>92116</v>
      </c>
      <c r="B435" s="26"/>
      <c r="C435" s="19" t="s">
        <v>107</v>
      </c>
      <c r="D435" s="190">
        <f>D436+D437+D438</f>
        <v>800000</v>
      </c>
      <c r="E435" s="190">
        <f>E436+E437+E438</f>
        <v>0</v>
      </c>
      <c r="F435" s="190">
        <f>F436+F437+F438</f>
        <v>800000</v>
      </c>
      <c r="G435" s="190">
        <f>SUM(G436:G438)</f>
        <v>-300000</v>
      </c>
      <c r="H435" s="190">
        <f>H436+H437+H438</f>
        <v>500000</v>
      </c>
      <c r="I435" s="190">
        <f>SUM(I436:I438)</f>
        <v>0</v>
      </c>
      <c r="J435" s="190">
        <f>J436+J437+J438</f>
        <v>500000</v>
      </c>
      <c r="K435" s="110"/>
      <c r="L435" s="190">
        <f>L436+L437+L438</f>
        <v>500000</v>
      </c>
      <c r="M435" s="109"/>
      <c r="N435" s="190">
        <f>N436+N437+N438</f>
        <v>500000</v>
      </c>
      <c r="O435" s="190"/>
      <c r="P435" s="190">
        <f>P436+P437+P438</f>
        <v>500000</v>
      </c>
      <c r="Q435" s="109"/>
      <c r="R435" s="190">
        <f>R436+R437+R438</f>
        <v>500000</v>
      </c>
      <c r="S435" s="109"/>
      <c r="T435" s="190">
        <f>T436+T437+T438</f>
        <v>500000</v>
      </c>
      <c r="U435" s="190">
        <f>U436+U437+U438</f>
        <v>5000</v>
      </c>
      <c r="V435" s="190">
        <f>V436+V437+V438</f>
        <v>505000</v>
      </c>
      <c r="W435" s="190">
        <f aca="true" t="shared" si="454" ref="W435:AB435">W436+W437+W438+W439</f>
        <v>0</v>
      </c>
      <c r="X435" s="190">
        <f t="shared" si="454"/>
        <v>505000</v>
      </c>
      <c r="Y435" s="190">
        <f t="shared" si="454"/>
        <v>0</v>
      </c>
      <c r="Z435" s="190">
        <f t="shared" si="454"/>
        <v>505000</v>
      </c>
      <c r="AA435" s="190">
        <f t="shared" si="454"/>
        <v>0</v>
      </c>
      <c r="AB435" s="190">
        <f t="shared" si="454"/>
        <v>505000</v>
      </c>
      <c r="AC435" s="190">
        <f aca="true" t="shared" si="455" ref="AC435:AH435">AC436+AC437+AC438+AC439</f>
        <v>0</v>
      </c>
      <c r="AD435" s="190">
        <f t="shared" si="455"/>
        <v>505000</v>
      </c>
      <c r="AE435" s="190">
        <f t="shared" si="455"/>
        <v>0</v>
      </c>
      <c r="AF435" s="190">
        <f t="shared" si="455"/>
        <v>505000</v>
      </c>
      <c r="AG435" s="191">
        <f t="shared" si="455"/>
        <v>0</v>
      </c>
      <c r="AH435" s="190">
        <f t="shared" si="455"/>
        <v>505000</v>
      </c>
      <c r="AI435" s="190">
        <f aca="true" t="shared" si="456" ref="AI435:AN435">AI436+AI437+AI438+AI439</f>
        <v>0</v>
      </c>
      <c r="AJ435" s="190">
        <f t="shared" si="456"/>
        <v>505000</v>
      </c>
      <c r="AK435" s="190">
        <f t="shared" si="456"/>
        <v>-300000</v>
      </c>
      <c r="AL435" s="190">
        <f t="shared" si="456"/>
        <v>205000</v>
      </c>
      <c r="AM435" s="190">
        <f t="shared" si="456"/>
        <v>0</v>
      </c>
      <c r="AN435" s="190">
        <f t="shared" si="456"/>
        <v>205000</v>
      </c>
      <c r="AO435" s="190">
        <f>AO436+AO437+AO438+AO439</f>
        <v>168000</v>
      </c>
      <c r="AP435" s="81">
        <f>AP436+AP437+AP438+AP439</f>
        <v>171000</v>
      </c>
      <c r="AQ435" s="247">
        <f>AQ436+AQ437+AQ438+AQ439</f>
        <v>515000</v>
      </c>
      <c r="AR435" s="274"/>
      <c r="AS435" s="244">
        <f t="shared" si="415"/>
        <v>515000</v>
      </c>
      <c r="AT435" s="103"/>
      <c r="AU435" s="103"/>
      <c r="AV435" s="103"/>
    </row>
    <row r="436" spans="1:48" ht="15" customHeight="1" hidden="1">
      <c r="A436" s="31"/>
      <c r="B436" s="27">
        <v>2480</v>
      </c>
      <c r="C436" s="18" t="s">
        <v>106</v>
      </c>
      <c r="D436" s="104">
        <v>200000</v>
      </c>
      <c r="E436" s="106"/>
      <c r="F436" s="106">
        <f>E436+D436</f>
        <v>200000</v>
      </c>
      <c r="G436" s="109"/>
      <c r="H436" s="106">
        <f>G436+F436</f>
        <v>200000</v>
      </c>
      <c r="I436" s="109"/>
      <c r="J436" s="106">
        <f>I436+H436</f>
        <v>200000</v>
      </c>
      <c r="K436" s="110"/>
      <c r="L436" s="106">
        <f>K436+H436</f>
        <v>200000</v>
      </c>
      <c r="M436" s="109"/>
      <c r="N436" s="106">
        <f>M436+L436</f>
        <v>200000</v>
      </c>
      <c r="O436" s="106"/>
      <c r="P436" s="106">
        <f>O436+N436</f>
        <v>200000</v>
      </c>
      <c r="Q436" s="109"/>
      <c r="R436" s="106">
        <f>Q436+P436</f>
        <v>200000</v>
      </c>
      <c r="S436" s="109"/>
      <c r="T436" s="106">
        <f>S436+R436</f>
        <v>200000</v>
      </c>
      <c r="U436" s="109">
        <v>5000</v>
      </c>
      <c r="V436" s="106">
        <f>U436+T436</f>
        <v>205000</v>
      </c>
      <c r="W436" s="109"/>
      <c r="X436" s="106">
        <f>W436+V436</f>
        <v>205000</v>
      </c>
      <c r="Y436" s="109"/>
      <c r="Z436" s="106">
        <f>Y436+X436</f>
        <v>205000</v>
      </c>
      <c r="AA436" s="109"/>
      <c r="AB436" s="106">
        <f>AA436+Z436</f>
        <v>205000</v>
      </c>
      <c r="AC436" s="109"/>
      <c r="AD436" s="106">
        <f>AC436+AB436</f>
        <v>205000</v>
      </c>
      <c r="AE436" s="109"/>
      <c r="AF436" s="106">
        <f>AE436+AD436</f>
        <v>205000</v>
      </c>
      <c r="AG436" s="147"/>
      <c r="AH436" s="106">
        <f>AG436+AF436</f>
        <v>205000</v>
      </c>
      <c r="AI436" s="109"/>
      <c r="AJ436" s="106">
        <f>AI436+AH436</f>
        <v>205000</v>
      </c>
      <c r="AK436" s="109"/>
      <c r="AL436" s="106">
        <f>AK436+AJ436</f>
        <v>205000</v>
      </c>
      <c r="AM436" s="109"/>
      <c r="AN436" s="106">
        <f>AM436+AL436</f>
        <v>205000</v>
      </c>
      <c r="AO436" s="106">
        <v>168000</v>
      </c>
      <c r="AP436" s="113">
        <v>171000</v>
      </c>
      <c r="AQ436" s="243">
        <v>215000</v>
      </c>
      <c r="AR436" s="275"/>
      <c r="AS436" s="244">
        <f t="shared" si="415"/>
        <v>215000</v>
      </c>
      <c r="AT436" s="103"/>
      <c r="AU436" s="103"/>
      <c r="AV436" s="103"/>
    </row>
    <row r="437" spans="1:48" ht="12.75" hidden="1">
      <c r="A437" s="31"/>
      <c r="B437" s="27">
        <v>6058</v>
      </c>
      <c r="C437" s="18" t="s">
        <v>26</v>
      </c>
      <c r="D437" s="104">
        <v>300000</v>
      </c>
      <c r="E437" s="106"/>
      <c r="F437" s="106">
        <f>E437+D437</f>
        <v>300000</v>
      </c>
      <c r="G437" s="109">
        <v>-300000</v>
      </c>
      <c r="H437" s="106">
        <f>G437+F437</f>
        <v>0</v>
      </c>
      <c r="I437" s="109"/>
      <c r="J437" s="106">
        <f>I437+H437</f>
        <v>0</v>
      </c>
      <c r="K437" s="110"/>
      <c r="L437" s="106">
        <f>K437+H437</f>
        <v>0</v>
      </c>
      <c r="M437" s="109"/>
      <c r="N437" s="106">
        <f>M437+L437</f>
        <v>0</v>
      </c>
      <c r="O437" s="106"/>
      <c r="P437" s="106">
        <f>O437+N437</f>
        <v>0</v>
      </c>
      <c r="Q437" s="109"/>
      <c r="R437" s="106">
        <f>Q437+P437</f>
        <v>0</v>
      </c>
      <c r="S437" s="109"/>
      <c r="T437" s="106">
        <f>S437+R437</f>
        <v>0</v>
      </c>
      <c r="U437" s="109"/>
      <c r="V437" s="106">
        <f>U437+T437</f>
        <v>0</v>
      </c>
      <c r="W437" s="109"/>
      <c r="X437" s="106">
        <f>W437+V437</f>
        <v>0</v>
      </c>
      <c r="Y437" s="109"/>
      <c r="Z437" s="106">
        <f>Y437+X437</f>
        <v>0</v>
      </c>
      <c r="AA437" s="109"/>
      <c r="AB437" s="106">
        <f>AA437+Z437</f>
        <v>0</v>
      </c>
      <c r="AC437" s="109"/>
      <c r="AD437" s="106">
        <f>AC437+AB437</f>
        <v>0</v>
      </c>
      <c r="AE437" s="109"/>
      <c r="AF437" s="106">
        <f>AE437+AD437</f>
        <v>0</v>
      </c>
      <c r="AG437" s="147"/>
      <c r="AH437" s="106">
        <f>AG437+AF437</f>
        <v>0</v>
      </c>
      <c r="AI437" s="109"/>
      <c r="AJ437" s="106">
        <f>AI437+AH437</f>
        <v>0</v>
      </c>
      <c r="AK437" s="109"/>
      <c r="AL437" s="106">
        <f>AK437+AJ437</f>
        <v>0</v>
      </c>
      <c r="AM437" s="109"/>
      <c r="AN437" s="106">
        <f>AM437+AL437</f>
        <v>0</v>
      </c>
      <c r="AO437" s="106">
        <f aca="true" t="shared" si="457" ref="AO437:AQ438">AN437+AM437</f>
        <v>0</v>
      </c>
      <c r="AP437" s="113">
        <f t="shared" si="457"/>
        <v>0</v>
      </c>
      <c r="AQ437" s="243">
        <f t="shared" si="457"/>
        <v>0</v>
      </c>
      <c r="AR437" s="275"/>
      <c r="AS437" s="244">
        <f t="shared" si="415"/>
        <v>0</v>
      </c>
      <c r="AT437" s="103"/>
      <c r="AU437" s="103"/>
      <c r="AV437" s="103"/>
    </row>
    <row r="438" spans="1:48" ht="12.75" hidden="1">
      <c r="A438" s="31"/>
      <c r="B438" s="27">
        <v>6059</v>
      </c>
      <c r="C438" s="18" t="s">
        <v>26</v>
      </c>
      <c r="D438" s="104">
        <v>300000</v>
      </c>
      <c r="E438" s="106"/>
      <c r="F438" s="106">
        <f>E438+D438</f>
        <v>300000</v>
      </c>
      <c r="G438" s="109"/>
      <c r="H438" s="106">
        <f>G438+F438</f>
        <v>300000</v>
      </c>
      <c r="I438" s="109"/>
      <c r="J438" s="106">
        <f>I438+H438</f>
        <v>300000</v>
      </c>
      <c r="K438" s="110"/>
      <c r="L438" s="106">
        <f>K438+H438</f>
        <v>300000</v>
      </c>
      <c r="M438" s="109"/>
      <c r="N438" s="106">
        <f>M438+L438</f>
        <v>300000</v>
      </c>
      <c r="O438" s="106"/>
      <c r="P438" s="106">
        <f>O438+N438</f>
        <v>300000</v>
      </c>
      <c r="Q438" s="109"/>
      <c r="R438" s="106">
        <f>Q438+P438</f>
        <v>300000</v>
      </c>
      <c r="S438" s="109"/>
      <c r="T438" s="106">
        <f>S438+R438</f>
        <v>300000</v>
      </c>
      <c r="U438" s="109"/>
      <c r="V438" s="106">
        <f>U438+T438</f>
        <v>300000</v>
      </c>
      <c r="W438" s="109">
        <v>-300000</v>
      </c>
      <c r="X438" s="106">
        <f>W438+V438</f>
        <v>0</v>
      </c>
      <c r="Y438" s="109"/>
      <c r="Z438" s="106">
        <f>Y438+X438</f>
        <v>0</v>
      </c>
      <c r="AA438" s="109"/>
      <c r="AB438" s="106">
        <f>AA438+Z438</f>
        <v>0</v>
      </c>
      <c r="AC438" s="109"/>
      <c r="AD438" s="106">
        <f>AC438+AB438</f>
        <v>0</v>
      </c>
      <c r="AE438" s="109"/>
      <c r="AF438" s="106">
        <f>AE438+AD438</f>
        <v>0</v>
      </c>
      <c r="AG438" s="147"/>
      <c r="AH438" s="106">
        <f>AG438+AF438</f>
        <v>0</v>
      </c>
      <c r="AI438" s="109"/>
      <c r="AJ438" s="106">
        <f>AI438+AH438</f>
        <v>0</v>
      </c>
      <c r="AK438" s="109"/>
      <c r="AL438" s="106">
        <f>AK438+AJ438</f>
        <v>0</v>
      </c>
      <c r="AM438" s="109"/>
      <c r="AN438" s="106">
        <f>AM438+AL438</f>
        <v>0</v>
      </c>
      <c r="AO438" s="106">
        <f t="shared" si="457"/>
        <v>0</v>
      </c>
      <c r="AP438" s="113">
        <f t="shared" si="457"/>
        <v>0</v>
      </c>
      <c r="AQ438" s="243">
        <f t="shared" si="457"/>
        <v>0</v>
      </c>
      <c r="AR438" s="275"/>
      <c r="AS438" s="244">
        <f t="shared" si="415"/>
        <v>0</v>
      </c>
      <c r="AT438" s="103"/>
      <c r="AU438" s="103"/>
      <c r="AV438" s="103"/>
    </row>
    <row r="439" spans="1:48" ht="38.25" hidden="1">
      <c r="A439" s="31"/>
      <c r="B439" s="27">
        <v>6220</v>
      </c>
      <c r="C439" s="18" t="s">
        <v>168</v>
      </c>
      <c r="D439" s="104"/>
      <c r="E439" s="106"/>
      <c r="F439" s="106"/>
      <c r="G439" s="109"/>
      <c r="H439" s="106"/>
      <c r="I439" s="109"/>
      <c r="J439" s="106"/>
      <c r="K439" s="110"/>
      <c r="L439" s="106"/>
      <c r="M439" s="109"/>
      <c r="N439" s="106"/>
      <c r="O439" s="106"/>
      <c r="P439" s="106"/>
      <c r="Q439" s="109"/>
      <c r="R439" s="106"/>
      <c r="S439" s="109"/>
      <c r="T439" s="106"/>
      <c r="U439" s="109"/>
      <c r="V439" s="106"/>
      <c r="W439" s="109">
        <v>300000</v>
      </c>
      <c r="X439" s="106">
        <v>300000</v>
      </c>
      <c r="Y439" s="109"/>
      <c r="Z439" s="106">
        <f>X439+Y439</f>
        <v>300000</v>
      </c>
      <c r="AA439" s="109"/>
      <c r="AB439" s="106">
        <f>Z439+AA439</f>
        <v>300000</v>
      </c>
      <c r="AC439" s="109"/>
      <c r="AD439" s="106">
        <f>AB439+AC439</f>
        <v>300000</v>
      </c>
      <c r="AE439" s="109"/>
      <c r="AF439" s="106">
        <f>AD439+AE439</f>
        <v>300000</v>
      </c>
      <c r="AG439" s="147"/>
      <c r="AH439" s="106">
        <f>AF439+AG439</f>
        <v>300000</v>
      </c>
      <c r="AI439" s="109"/>
      <c r="AJ439" s="106">
        <f>AH439+AI439</f>
        <v>300000</v>
      </c>
      <c r="AK439" s="109">
        <v>-300000</v>
      </c>
      <c r="AL439" s="106">
        <f>AJ439+AK439</f>
        <v>0</v>
      </c>
      <c r="AM439" s="109"/>
      <c r="AN439" s="106">
        <f>AL439+AM439</f>
        <v>0</v>
      </c>
      <c r="AO439" s="106">
        <f>AM439+AN439</f>
        <v>0</v>
      </c>
      <c r="AP439" s="113">
        <f>AN439+AO439</f>
        <v>0</v>
      </c>
      <c r="AQ439" s="243">
        <v>300000</v>
      </c>
      <c r="AR439" s="275"/>
      <c r="AS439" s="244">
        <f t="shared" si="415"/>
        <v>300000</v>
      </c>
      <c r="AT439" s="103"/>
      <c r="AU439" s="103"/>
      <c r="AV439" s="103"/>
    </row>
    <row r="440" spans="1:48" ht="12.75" hidden="1">
      <c r="A440" s="31">
        <v>92120</v>
      </c>
      <c r="B440" s="26"/>
      <c r="C440" s="26" t="s">
        <v>132</v>
      </c>
      <c r="D440" s="190">
        <f aca="true" t="shared" si="458" ref="D440:J440">D441</f>
        <v>150000</v>
      </c>
      <c r="E440" s="190">
        <f t="shared" si="458"/>
        <v>0</v>
      </c>
      <c r="F440" s="190">
        <f t="shared" si="458"/>
        <v>150000</v>
      </c>
      <c r="G440" s="190">
        <f t="shared" si="458"/>
        <v>0</v>
      </c>
      <c r="H440" s="190">
        <f t="shared" si="458"/>
        <v>150000</v>
      </c>
      <c r="I440" s="190">
        <f t="shared" si="458"/>
        <v>0</v>
      </c>
      <c r="J440" s="190">
        <f t="shared" si="458"/>
        <v>150000</v>
      </c>
      <c r="K440" s="110"/>
      <c r="L440" s="190">
        <f>L441</f>
        <v>150000</v>
      </c>
      <c r="M440" s="109"/>
      <c r="N440" s="190">
        <f>N441</f>
        <v>150000</v>
      </c>
      <c r="O440" s="190"/>
      <c r="P440" s="190">
        <f>P441</f>
        <v>150000</v>
      </c>
      <c r="Q440" s="109"/>
      <c r="R440" s="190">
        <f>R441</f>
        <v>150000</v>
      </c>
      <c r="S440" s="109"/>
      <c r="T440" s="190">
        <f>T441</f>
        <v>150000</v>
      </c>
      <c r="U440" s="109"/>
      <c r="V440" s="190">
        <f>V441</f>
        <v>150000</v>
      </c>
      <c r="W440" s="109"/>
      <c r="X440" s="190">
        <f>X441</f>
        <v>150000</v>
      </c>
      <c r="Y440" s="109"/>
      <c r="Z440" s="190">
        <f>Z441</f>
        <v>150000</v>
      </c>
      <c r="AA440" s="109"/>
      <c r="AB440" s="190">
        <f>AB441</f>
        <v>150000</v>
      </c>
      <c r="AC440" s="109"/>
      <c r="AD440" s="190">
        <f>AD441</f>
        <v>150000</v>
      </c>
      <c r="AE440" s="109"/>
      <c r="AF440" s="190">
        <f>AF441</f>
        <v>150000</v>
      </c>
      <c r="AG440" s="147"/>
      <c r="AH440" s="190">
        <f>AH441</f>
        <v>150000</v>
      </c>
      <c r="AI440" s="109"/>
      <c r="AJ440" s="190">
        <f>AJ441</f>
        <v>150000</v>
      </c>
      <c r="AK440" s="190">
        <f>AK441+AK442+AK443+AK444</f>
        <v>0</v>
      </c>
      <c r="AL440" s="190">
        <f>AL441</f>
        <v>150000</v>
      </c>
      <c r="AM440" s="190">
        <f>AM441+AM442+AM443+AM444</f>
        <v>0</v>
      </c>
      <c r="AN440" s="190">
        <f>AN441</f>
        <v>150000</v>
      </c>
      <c r="AO440" s="190">
        <f>AO441</f>
        <v>0</v>
      </c>
      <c r="AP440" s="81">
        <f>AP441</f>
        <v>0</v>
      </c>
      <c r="AQ440" s="247">
        <f>AQ441</f>
        <v>0</v>
      </c>
      <c r="AR440" s="274"/>
      <c r="AS440" s="244">
        <f t="shared" si="415"/>
        <v>0</v>
      </c>
      <c r="AT440" s="103"/>
      <c r="AU440" s="103"/>
      <c r="AV440" s="103"/>
    </row>
    <row r="441" spans="1:48" ht="26.25" customHeight="1" hidden="1">
      <c r="A441" s="31"/>
      <c r="B441" s="27">
        <v>4349</v>
      </c>
      <c r="C441" s="18" t="s">
        <v>139</v>
      </c>
      <c r="D441" s="104">
        <v>150000</v>
      </c>
      <c r="E441" s="106"/>
      <c r="F441" s="106">
        <f>E441+D441</f>
        <v>150000</v>
      </c>
      <c r="G441" s="109"/>
      <c r="H441" s="106">
        <f>G441+F441</f>
        <v>150000</v>
      </c>
      <c r="I441" s="109"/>
      <c r="J441" s="106">
        <f>I441+H441</f>
        <v>150000</v>
      </c>
      <c r="K441" s="110"/>
      <c r="L441" s="106">
        <f>K441+H441</f>
        <v>150000</v>
      </c>
      <c r="M441" s="109"/>
      <c r="N441" s="106">
        <f>M441+L441</f>
        <v>150000</v>
      </c>
      <c r="O441" s="106"/>
      <c r="P441" s="106">
        <f>O441+N441</f>
        <v>150000</v>
      </c>
      <c r="Q441" s="109"/>
      <c r="R441" s="106">
        <f>Q441+P441</f>
        <v>150000</v>
      </c>
      <c r="S441" s="109"/>
      <c r="T441" s="106">
        <f>S441+R441</f>
        <v>150000</v>
      </c>
      <c r="U441" s="109"/>
      <c r="V441" s="106">
        <f>U441+T441</f>
        <v>150000</v>
      </c>
      <c r="W441" s="109"/>
      <c r="X441" s="106">
        <f>W441+V441</f>
        <v>150000</v>
      </c>
      <c r="Y441" s="109"/>
      <c r="Z441" s="106">
        <f>Y441+X441</f>
        <v>150000</v>
      </c>
      <c r="AA441" s="109"/>
      <c r="AB441" s="106">
        <f>AA441+Z441</f>
        <v>150000</v>
      </c>
      <c r="AC441" s="109"/>
      <c r="AD441" s="106">
        <f>AC441+AB441</f>
        <v>150000</v>
      </c>
      <c r="AE441" s="109"/>
      <c r="AF441" s="106">
        <f>AE441+AD441</f>
        <v>150000</v>
      </c>
      <c r="AG441" s="147"/>
      <c r="AH441" s="106">
        <f>AG441+AF441</f>
        <v>150000</v>
      </c>
      <c r="AI441" s="109"/>
      <c r="AJ441" s="106">
        <f>AI441+AH441</f>
        <v>150000</v>
      </c>
      <c r="AK441" s="109"/>
      <c r="AL441" s="106">
        <f>AK441+AJ441</f>
        <v>150000</v>
      </c>
      <c r="AM441" s="109"/>
      <c r="AN441" s="106">
        <f>AM441+AL441</f>
        <v>150000</v>
      </c>
      <c r="AO441" s="106">
        <v>0</v>
      </c>
      <c r="AP441" s="113">
        <v>0</v>
      </c>
      <c r="AQ441" s="243">
        <f>AP441+AO441</f>
        <v>0</v>
      </c>
      <c r="AR441" s="275"/>
      <c r="AS441" s="244">
        <f t="shared" si="415"/>
        <v>0</v>
      </c>
      <c r="AT441" s="103"/>
      <c r="AU441" s="103"/>
      <c r="AV441" s="103"/>
    </row>
    <row r="442" spans="1:48" ht="12.75" hidden="1">
      <c r="A442" s="31">
        <v>92195</v>
      </c>
      <c r="B442" s="26"/>
      <c r="C442" s="26" t="s">
        <v>13</v>
      </c>
      <c r="D442" s="190">
        <f aca="true" t="shared" si="459" ref="D442:J442">SUM(D443:D448)</f>
        <v>23300</v>
      </c>
      <c r="E442" s="190">
        <f t="shared" si="459"/>
        <v>0</v>
      </c>
      <c r="F442" s="190">
        <f t="shared" si="459"/>
        <v>23300</v>
      </c>
      <c r="G442" s="190">
        <f t="shared" si="459"/>
        <v>0</v>
      </c>
      <c r="H442" s="190">
        <f t="shared" si="459"/>
        <v>23300</v>
      </c>
      <c r="I442" s="190">
        <f t="shared" si="459"/>
        <v>0</v>
      </c>
      <c r="J442" s="190">
        <f t="shared" si="459"/>
        <v>23300</v>
      </c>
      <c r="K442" s="110"/>
      <c r="L442" s="190">
        <f>SUM(L443:L448)</f>
        <v>23300</v>
      </c>
      <c r="M442" s="109"/>
      <c r="N442" s="190">
        <f>SUM(N443:N448)</f>
        <v>23300</v>
      </c>
      <c r="O442" s="190"/>
      <c r="P442" s="190">
        <f>SUM(P443:P448)</f>
        <v>23300</v>
      </c>
      <c r="Q442" s="109"/>
      <c r="R442" s="190">
        <f>SUM(R443:R448)</f>
        <v>23300</v>
      </c>
      <c r="S442" s="109"/>
      <c r="T442" s="190">
        <f>SUM(T443:T448)</f>
        <v>23300</v>
      </c>
      <c r="U442" s="109"/>
      <c r="V442" s="190">
        <f>SUM(V443:V448)</f>
        <v>23300</v>
      </c>
      <c r="W442" s="109"/>
      <c r="X442" s="190">
        <f>SUM(X443:X448)</f>
        <v>23300</v>
      </c>
      <c r="Y442" s="109"/>
      <c r="Z442" s="190">
        <f>SUM(Z443:Z448)</f>
        <v>23300</v>
      </c>
      <c r="AA442" s="109"/>
      <c r="AB442" s="190">
        <f>SUM(AB443:AB448)</f>
        <v>23300</v>
      </c>
      <c r="AC442" s="109"/>
      <c r="AD442" s="190">
        <f>SUM(AD443:AD448)</f>
        <v>23300</v>
      </c>
      <c r="AE442" s="109"/>
      <c r="AF442" s="190">
        <f>SUM(AF443:AF448)</f>
        <v>23300</v>
      </c>
      <c r="AG442" s="147"/>
      <c r="AH442" s="190">
        <f>SUM(AH443:AH448)</f>
        <v>23300</v>
      </c>
      <c r="AI442" s="109"/>
      <c r="AJ442" s="190">
        <f aca="true" t="shared" si="460" ref="AJ442:AQ442">SUM(AJ443:AJ448)</f>
        <v>23300</v>
      </c>
      <c r="AK442" s="190">
        <f t="shared" si="460"/>
        <v>0</v>
      </c>
      <c r="AL442" s="190">
        <f t="shared" si="460"/>
        <v>23300</v>
      </c>
      <c r="AM442" s="190">
        <f t="shared" si="460"/>
        <v>0</v>
      </c>
      <c r="AN442" s="190">
        <f t="shared" si="460"/>
        <v>23300</v>
      </c>
      <c r="AO442" s="190">
        <f t="shared" si="460"/>
        <v>55840</v>
      </c>
      <c r="AP442" s="81">
        <f t="shared" si="460"/>
        <v>4000</v>
      </c>
      <c r="AQ442" s="247">
        <f t="shared" si="460"/>
        <v>15230</v>
      </c>
      <c r="AR442" s="274"/>
      <c r="AS442" s="244">
        <f t="shared" si="415"/>
        <v>15230</v>
      </c>
      <c r="AT442" s="103"/>
      <c r="AU442" s="103"/>
      <c r="AV442" s="103"/>
    </row>
    <row r="443" spans="1:48" ht="12.75" hidden="1">
      <c r="A443" s="21"/>
      <c r="B443" s="27">
        <v>4210</v>
      </c>
      <c r="C443" s="27" t="s">
        <v>14</v>
      </c>
      <c r="D443" s="104">
        <v>10000</v>
      </c>
      <c r="E443" s="106"/>
      <c r="F443" s="106">
        <f>E443+D443</f>
        <v>10000</v>
      </c>
      <c r="G443" s="109"/>
      <c r="H443" s="106">
        <f>G443+F443</f>
        <v>10000</v>
      </c>
      <c r="I443" s="109"/>
      <c r="J443" s="106">
        <f>I443+H443</f>
        <v>10000</v>
      </c>
      <c r="K443" s="110"/>
      <c r="L443" s="106">
        <f>K443+H443</f>
        <v>10000</v>
      </c>
      <c r="M443" s="109"/>
      <c r="N443" s="106">
        <f>M443+L443</f>
        <v>10000</v>
      </c>
      <c r="O443" s="106"/>
      <c r="P443" s="106">
        <f>O443+N443</f>
        <v>10000</v>
      </c>
      <c r="Q443" s="109"/>
      <c r="R443" s="106">
        <f>Q443+P443</f>
        <v>10000</v>
      </c>
      <c r="S443" s="109"/>
      <c r="T443" s="106">
        <f>S443+R443</f>
        <v>10000</v>
      </c>
      <c r="U443" s="109"/>
      <c r="V443" s="106">
        <f>U443+T443</f>
        <v>10000</v>
      </c>
      <c r="W443" s="109"/>
      <c r="X443" s="106">
        <f>W443+V443</f>
        <v>10000</v>
      </c>
      <c r="Y443" s="109"/>
      <c r="Z443" s="106">
        <f>Y443+X443</f>
        <v>10000</v>
      </c>
      <c r="AA443" s="109"/>
      <c r="AB443" s="106">
        <f>AA443+Z443</f>
        <v>10000</v>
      </c>
      <c r="AC443" s="109"/>
      <c r="AD443" s="106">
        <f>AC443+AB443</f>
        <v>10000</v>
      </c>
      <c r="AE443" s="109"/>
      <c r="AF443" s="106">
        <f>AE443+AD443</f>
        <v>10000</v>
      </c>
      <c r="AG443" s="147"/>
      <c r="AH443" s="106">
        <f>AG443+AF443</f>
        <v>10000</v>
      </c>
      <c r="AI443" s="109"/>
      <c r="AJ443" s="106">
        <f>AI443+AH443</f>
        <v>10000</v>
      </c>
      <c r="AK443" s="109">
        <v>-1200</v>
      </c>
      <c r="AL443" s="106">
        <f>AK443+AJ443</f>
        <v>8800</v>
      </c>
      <c r="AM443" s="109"/>
      <c r="AN443" s="106">
        <f>AM443+AL443</f>
        <v>8800</v>
      </c>
      <c r="AO443" s="106">
        <v>3941</v>
      </c>
      <c r="AP443" s="113">
        <v>320</v>
      </c>
      <c r="AQ443" s="243">
        <v>4230</v>
      </c>
      <c r="AR443" s="275"/>
      <c r="AS443" s="244">
        <f t="shared" si="415"/>
        <v>4230</v>
      </c>
      <c r="AT443" s="103"/>
      <c r="AU443" s="103"/>
      <c r="AV443" s="103"/>
    </row>
    <row r="444" spans="1:48" ht="12.75" hidden="1">
      <c r="A444" s="21"/>
      <c r="B444" s="27">
        <v>4260</v>
      </c>
      <c r="C444" s="18" t="s">
        <v>43</v>
      </c>
      <c r="D444" s="104">
        <v>3300</v>
      </c>
      <c r="E444" s="106"/>
      <c r="F444" s="106">
        <f>E444+D444</f>
        <v>3300</v>
      </c>
      <c r="G444" s="109"/>
      <c r="H444" s="106">
        <f>G444+F444</f>
        <v>3300</v>
      </c>
      <c r="I444" s="109"/>
      <c r="J444" s="106">
        <f>I444+H444</f>
        <v>3300</v>
      </c>
      <c r="K444" s="110"/>
      <c r="L444" s="106">
        <f>K444+H444</f>
        <v>3300</v>
      </c>
      <c r="M444" s="109"/>
      <c r="N444" s="106">
        <f>M444+L444</f>
        <v>3300</v>
      </c>
      <c r="O444" s="106"/>
      <c r="P444" s="106">
        <f>O444+N444</f>
        <v>3300</v>
      </c>
      <c r="Q444" s="109"/>
      <c r="R444" s="106">
        <f>Q444+P444</f>
        <v>3300</v>
      </c>
      <c r="S444" s="109"/>
      <c r="T444" s="106">
        <f>S444+R444</f>
        <v>3300</v>
      </c>
      <c r="U444" s="109"/>
      <c r="V444" s="106">
        <f>U444+T444</f>
        <v>3300</v>
      </c>
      <c r="W444" s="109"/>
      <c r="X444" s="106">
        <f>W444+V444</f>
        <v>3300</v>
      </c>
      <c r="Y444" s="109"/>
      <c r="Z444" s="106">
        <f>Y444+X444</f>
        <v>3300</v>
      </c>
      <c r="AA444" s="109"/>
      <c r="AB444" s="106">
        <f>AA444+Z444</f>
        <v>3300</v>
      </c>
      <c r="AC444" s="109"/>
      <c r="AD444" s="106">
        <f>AC444+AB444</f>
        <v>3300</v>
      </c>
      <c r="AE444" s="109"/>
      <c r="AF444" s="106">
        <f>AE444+AD444</f>
        <v>3300</v>
      </c>
      <c r="AG444" s="147"/>
      <c r="AH444" s="106">
        <f>AG444+AF444</f>
        <v>3300</v>
      </c>
      <c r="AI444" s="109"/>
      <c r="AJ444" s="106">
        <f>AI444+AH444</f>
        <v>3300</v>
      </c>
      <c r="AK444" s="109">
        <v>1200</v>
      </c>
      <c r="AL444" s="106">
        <f>AK444+AJ444</f>
        <v>4500</v>
      </c>
      <c r="AM444" s="109"/>
      <c r="AN444" s="106">
        <f>AM444+AL444</f>
        <v>4500</v>
      </c>
      <c r="AO444" s="106">
        <v>3635</v>
      </c>
      <c r="AP444" s="113">
        <v>2838</v>
      </c>
      <c r="AQ444" s="243">
        <v>6000</v>
      </c>
      <c r="AR444" s="275"/>
      <c r="AS444" s="244">
        <f t="shared" si="415"/>
        <v>6000</v>
      </c>
      <c r="AT444" s="103"/>
      <c r="AU444" s="164">
        <f>AQ444/(AP444/3*4)</f>
        <v>1.5856236786469344</v>
      </c>
      <c r="AV444" s="103">
        <f>(AP444/3*4)*130%</f>
        <v>4919.2</v>
      </c>
    </row>
    <row r="445" spans="1:48" ht="12.75" hidden="1">
      <c r="A445" s="21"/>
      <c r="B445" s="27">
        <v>4270</v>
      </c>
      <c r="C445" s="18" t="s">
        <v>24</v>
      </c>
      <c r="D445" s="104"/>
      <c r="E445" s="106"/>
      <c r="F445" s="106">
        <f>E445+D445</f>
        <v>0</v>
      </c>
      <c r="G445" s="109"/>
      <c r="H445" s="106">
        <f>G445+F445</f>
        <v>0</v>
      </c>
      <c r="I445" s="109"/>
      <c r="J445" s="106">
        <f>I445+H445</f>
        <v>0</v>
      </c>
      <c r="K445" s="110"/>
      <c r="L445" s="106">
        <f>K445+H445</f>
        <v>0</v>
      </c>
      <c r="M445" s="109"/>
      <c r="N445" s="106">
        <f>M445+L445</f>
        <v>0</v>
      </c>
      <c r="O445" s="106"/>
      <c r="P445" s="106">
        <f>O445+N445</f>
        <v>0</v>
      </c>
      <c r="Q445" s="109"/>
      <c r="R445" s="106">
        <f>Q445+P445</f>
        <v>0</v>
      </c>
      <c r="S445" s="109"/>
      <c r="T445" s="106">
        <f>S445+R445</f>
        <v>0</v>
      </c>
      <c r="U445" s="109"/>
      <c r="V445" s="106">
        <f>U445+T445</f>
        <v>0</v>
      </c>
      <c r="W445" s="109"/>
      <c r="X445" s="106">
        <f>W445+V445</f>
        <v>0</v>
      </c>
      <c r="Y445" s="109"/>
      <c r="Z445" s="106">
        <f>Y445+X445</f>
        <v>0</v>
      </c>
      <c r="AA445" s="109"/>
      <c r="AB445" s="106">
        <f>AA445+Z445</f>
        <v>0</v>
      </c>
      <c r="AC445" s="109"/>
      <c r="AD445" s="106">
        <f>AC445+AB445</f>
        <v>0</v>
      </c>
      <c r="AE445" s="109"/>
      <c r="AF445" s="106">
        <f>AE445+AD445</f>
        <v>0</v>
      </c>
      <c r="AG445" s="147"/>
      <c r="AH445" s="106">
        <f>AG445+AF445</f>
        <v>0</v>
      </c>
      <c r="AI445" s="109"/>
      <c r="AJ445" s="106">
        <f>AI445+AH445</f>
        <v>0</v>
      </c>
      <c r="AK445" s="109"/>
      <c r="AL445" s="106">
        <f>AK445+AJ445</f>
        <v>0</v>
      </c>
      <c r="AM445" s="109"/>
      <c r="AN445" s="106">
        <f>AM445+AL445</f>
        <v>0</v>
      </c>
      <c r="AO445" s="106">
        <v>33355</v>
      </c>
      <c r="AP445" s="113">
        <v>0</v>
      </c>
      <c r="AQ445" s="243">
        <v>0</v>
      </c>
      <c r="AR445" s="275"/>
      <c r="AS445" s="244">
        <f t="shared" si="415"/>
        <v>0</v>
      </c>
      <c r="AT445" s="103"/>
      <c r="AU445" s="103"/>
      <c r="AV445" s="103"/>
    </row>
    <row r="446" spans="1:48" ht="12.75" hidden="1">
      <c r="A446" s="21"/>
      <c r="B446" s="27">
        <v>4300</v>
      </c>
      <c r="C446" s="27" t="s">
        <v>15</v>
      </c>
      <c r="D446" s="104">
        <v>10000</v>
      </c>
      <c r="E446" s="106"/>
      <c r="F446" s="106">
        <f>E446+D446</f>
        <v>10000</v>
      </c>
      <c r="G446" s="109"/>
      <c r="H446" s="106">
        <f>G446+F446</f>
        <v>10000</v>
      </c>
      <c r="I446" s="109"/>
      <c r="J446" s="106">
        <f>I446+H446</f>
        <v>10000</v>
      </c>
      <c r="K446" s="110"/>
      <c r="L446" s="106">
        <f>K446+H446</f>
        <v>10000</v>
      </c>
      <c r="M446" s="109"/>
      <c r="N446" s="106">
        <f>M446+L446</f>
        <v>10000</v>
      </c>
      <c r="O446" s="106"/>
      <c r="P446" s="106">
        <f>O446+N446</f>
        <v>10000</v>
      </c>
      <c r="Q446" s="109"/>
      <c r="R446" s="106">
        <f>Q446+P446</f>
        <v>10000</v>
      </c>
      <c r="S446" s="109"/>
      <c r="T446" s="106">
        <f>S446+R446</f>
        <v>10000</v>
      </c>
      <c r="U446" s="109"/>
      <c r="V446" s="106">
        <f>U446+T446</f>
        <v>10000</v>
      </c>
      <c r="W446" s="109"/>
      <c r="X446" s="106">
        <f>W446+V446</f>
        <v>10000</v>
      </c>
      <c r="Y446" s="109"/>
      <c r="Z446" s="106">
        <f>Y446+X446</f>
        <v>10000</v>
      </c>
      <c r="AA446" s="109"/>
      <c r="AB446" s="106">
        <f>AA446+Z446</f>
        <v>10000</v>
      </c>
      <c r="AC446" s="109"/>
      <c r="AD446" s="106">
        <f>AC446+AB446</f>
        <v>10000</v>
      </c>
      <c r="AE446" s="109"/>
      <c r="AF446" s="106">
        <f>AE446+AD446</f>
        <v>10000</v>
      </c>
      <c r="AG446" s="147"/>
      <c r="AH446" s="106">
        <f>AG446+AF446</f>
        <v>10000</v>
      </c>
      <c r="AI446" s="109"/>
      <c r="AJ446" s="106">
        <f>AI446+AH446</f>
        <v>10000</v>
      </c>
      <c r="AK446" s="109"/>
      <c r="AL446" s="106">
        <f>AK446+AJ446</f>
        <v>10000</v>
      </c>
      <c r="AM446" s="109"/>
      <c r="AN446" s="106">
        <f>AM446+AL446</f>
        <v>10000</v>
      </c>
      <c r="AO446" s="106">
        <v>14909</v>
      </c>
      <c r="AP446" s="113">
        <v>842</v>
      </c>
      <c r="AQ446" s="243">
        <v>5000</v>
      </c>
      <c r="AR446" s="275"/>
      <c r="AS446" s="244">
        <f t="shared" si="415"/>
        <v>5000</v>
      </c>
      <c r="AT446" s="103"/>
      <c r="AU446" s="103"/>
      <c r="AV446" s="103"/>
    </row>
    <row r="447" spans="1:48" ht="12.75" hidden="1">
      <c r="A447" s="21"/>
      <c r="B447" s="27"/>
      <c r="C447" s="18"/>
      <c r="D447" s="104"/>
      <c r="E447" s="106"/>
      <c r="F447" s="106"/>
      <c r="G447" s="109"/>
      <c r="H447" s="106"/>
      <c r="I447" s="109"/>
      <c r="J447" s="106"/>
      <c r="K447" s="110"/>
      <c r="L447" s="106"/>
      <c r="M447" s="109"/>
      <c r="N447" s="106"/>
      <c r="O447" s="106"/>
      <c r="P447" s="106"/>
      <c r="Q447" s="109"/>
      <c r="R447" s="106"/>
      <c r="S447" s="109"/>
      <c r="T447" s="106"/>
      <c r="U447" s="109"/>
      <c r="V447" s="106"/>
      <c r="W447" s="109"/>
      <c r="X447" s="106"/>
      <c r="Y447" s="109"/>
      <c r="Z447" s="106"/>
      <c r="AA447" s="109"/>
      <c r="AB447" s="106"/>
      <c r="AC447" s="109"/>
      <c r="AD447" s="106"/>
      <c r="AE447" s="109"/>
      <c r="AF447" s="106"/>
      <c r="AG447" s="147"/>
      <c r="AH447" s="106"/>
      <c r="AI447" s="109"/>
      <c r="AJ447" s="106"/>
      <c r="AK447" s="109"/>
      <c r="AL447" s="106"/>
      <c r="AM447" s="109"/>
      <c r="AN447" s="106"/>
      <c r="AO447" s="106"/>
      <c r="AP447" s="113"/>
      <c r="AQ447" s="243"/>
      <c r="AR447" s="275"/>
      <c r="AS447" s="244">
        <f t="shared" si="415"/>
        <v>0</v>
      </c>
      <c r="AT447" s="103"/>
      <c r="AU447" s="103"/>
      <c r="AV447" s="103"/>
    </row>
    <row r="448" spans="1:48" ht="12.75" hidden="1">
      <c r="A448" s="21"/>
      <c r="B448" s="27"/>
      <c r="C448" s="18"/>
      <c r="D448" s="104"/>
      <c r="E448" s="105"/>
      <c r="F448" s="106"/>
      <c r="G448" s="109"/>
      <c r="H448" s="106"/>
      <c r="I448" s="109"/>
      <c r="J448" s="106"/>
      <c r="K448" s="110"/>
      <c r="L448" s="106"/>
      <c r="M448" s="109"/>
      <c r="N448" s="106"/>
      <c r="O448" s="106"/>
      <c r="P448" s="106"/>
      <c r="Q448" s="109"/>
      <c r="R448" s="106"/>
      <c r="S448" s="109"/>
      <c r="T448" s="106"/>
      <c r="U448" s="109"/>
      <c r="V448" s="106"/>
      <c r="W448" s="109"/>
      <c r="X448" s="106"/>
      <c r="Y448" s="109"/>
      <c r="Z448" s="106"/>
      <c r="AA448" s="109"/>
      <c r="AB448" s="106"/>
      <c r="AC448" s="109"/>
      <c r="AD448" s="106"/>
      <c r="AE448" s="109"/>
      <c r="AF448" s="106"/>
      <c r="AG448" s="147"/>
      <c r="AH448" s="106"/>
      <c r="AI448" s="109"/>
      <c r="AJ448" s="106"/>
      <c r="AK448" s="109"/>
      <c r="AL448" s="106"/>
      <c r="AM448" s="109"/>
      <c r="AN448" s="106"/>
      <c r="AO448" s="106"/>
      <c r="AP448" s="113"/>
      <c r="AQ448" s="243"/>
      <c r="AR448" s="275"/>
      <c r="AS448" s="244">
        <f t="shared" si="415"/>
        <v>0</v>
      </c>
      <c r="AT448" s="103"/>
      <c r="AU448" s="103"/>
      <c r="AV448" s="103"/>
    </row>
    <row r="449" spans="1:48" ht="12.75" hidden="1">
      <c r="A449" s="218">
        <v>926</v>
      </c>
      <c r="B449" s="187"/>
      <c r="C449" s="188" t="s">
        <v>108</v>
      </c>
      <c r="D449" s="189">
        <f aca="true" t="shared" si="461" ref="D449:J449">SUM(D450,D453)</f>
        <v>259144</v>
      </c>
      <c r="E449" s="189">
        <f t="shared" si="461"/>
        <v>0</v>
      </c>
      <c r="F449" s="189">
        <f t="shared" si="461"/>
        <v>259144</v>
      </c>
      <c r="G449" s="189">
        <f t="shared" si="461"/>
        <v>0</v>
      </c>
      <c r="H449" s="189">
        <f t="shared" si="461"/>
        <v>259144</v>
      </c>
      <c r="I449" s="189">
        <f t="shared" si="461"/>
        <v>0</v>
      </c>
      <c r="J449" s="189">
        <f t="shared" si="461"/>
        <v>259144</v>
      </c>
      <c r="K449" s="110"/>
      <c r="L449" s="189">
        <f>SUM(L450,L453)</f>
        <v>259144</v>
      </c>
      <c r="M449" s="109"/>
      <c r="N449" s="189">
        <f>SUM(N450,N453)</f>
        <v>259144</v>
      </c>
      <c r="O449" s="189"/>
      <c r="P449" s="189">
        <f>SUM(P450,P453)</f>
        <v>259144</v>
      </c>
      <c r="Q449" s="109"/>
      <c r="R449" s="189">
        <f>SUM(R450,R453)</f>
        <v>259144</v>
      </c>
      <c r="S449" s="109"/>
      <c r="T449" s="189">
        <f>SUM(T450,T453)</f>
        <v>259144</v>
      </c>
      <c r="U449" s="189">
        <f aca="true" t="shared" si="462" ref="U449:Z449">SUM(U450,U453,U466)</f>
        <v>177228</v>
      </c>
      <c r="V449" s="189">
        <f t="shared" si="462"/>
        <v>436372</v>
      </c>
      <c r="W449" s="189">
        <f t="shared" si="462"/>
        <v>0</v>
      </c>
      <c r="X449" s="189">
        <f t="shared" si="462"/>
        <v>436372</v>
      </c>
      <c r="Y449" s="189">
        <f t="shared" si="462"/>
        <v>0</v>
      </c>
      <c r="Z449" s="189">
        <f t="shared" si="462"/>
        <v>436372</v>
      </c>
      <c r="AA449" s="189">
        <f aca="true" t="shared" si="463" ref="AA449:AF449">SUM(AA450,AA453,AA466)</f>
        <v>-4899</v>
      </c>
      <c r="AB449" s="189">
        <f t="shared" si="463"/>
        <v>431473</v>
      </c>
      <c r="AC449" s="189">
        <f t="shared" si="463"/>
        <v>0</v>
      </c>
      <c r="AD449" s="189">
        <f t="shared" si="463"/>
        <v>431473</v>
      </c>
      <c r="AE449" s="189">
        <f t="shared" si="463"/>
        <v>0</v>
      </c>
      <c r="AF449" s="189">
        <f t="shared" si="463"/>
        <v>431473</v>
      </c>
      <c r="AG449" s="197">
        <f aca="true" t="shared" si="464" ref="AG449:AL449">SUM(AG450,AG453,AG466)</f>
        <v>12000</v>
      </c>
      <c r="AH449" s="189">
        <f t="shared" si="464"/>
        <v>443473</v>
      </c>
      <c r="AI449" s="189">
        <f t="shared" si="464"/>
        <v>0</v>
      </c>
      <c r="AJ449" s="189">
        <f t="shared" si="464"/>
        <v>443473</v>
      </c>
      <c r="AK449" s="189">
        <f t="shared" si="464"/>
        <v>18035</v>
      </c>
      <c r="AL449" s="189">
        <f t="shared" si="464"/>
        <v>461508</v>
      </c>
      <c r="AM449" s="189">
        <f>SUM(AM450,AM453,AM466)</f>
        <v>0</v>
      </c>
      <c r="AN449" s="189">
        <f>SUM(AN450,AN453,AN466)</f>
        <v>461508</v>
      </c>
      <c r="AO449" s="189">
        <f>SUM(AO450,AO453,AO466)</f>
        <v>1207999</v>
      </c>
      <c r="AP449" s="221">
        <f>SUM(AP450,AP453,AP466)</f>
        <v>295634</v>
      </c>
      <c r="AQ449" s="249">
        <f>SUM(AQ450,AQ453,AQ466)</f>
        <v>886300</v>
      </c>
      <c r="AR449" s="276"/>
      <c r="AS449" s="244">
        <f t="shared" si="415"/>
        <v>886300</v>
      </c>
      <c r="AT449" s="103"/>
      <c r="AU449" s="103"/>
      <c r="AV449" s="103"/>
    </row>
    <row r="450" spans="1:48" ht="12.75" hidden="1">
      <c r="A450" s="31">
        <v>92601</v>
      </c>
      <c r="B450" s="26"/>
      <c r="C450" s="19" t="s">
        <v>109</v>
      </c>
      <c r="D450" s="190">
        <f aca="true" t="shared" si="465" ref="D450:J450">SUM(D451:D451)</f>
        <v>110000</v>
      </c>
      <c r="E450" s="190">
        <f t="shared" si="465"/>
        <v>0</v>
      </c>
      <c r="F450" s="190">
        <f t="shared" si="465"/>
        <v>110000</v>
      </c>
      <c r="G450" s="190">
        <f t="shared" si="465"/>
        <v>0</v>
      </c>
      <c r="H450" s="190">
        <f t="shared" si="465"/>
        <v>110000</v>
      </c>
      <c r="I450" s="190">
        <f t="shared" si="465"/>
        <v>0</v>
      </c>
      <c r="J450" s="190">
        <f t="shared" si="465"/>
        <v>110000</v>
      </c>
      <c r="K450" s="110"/>
      <c r="L450" s="190">
        <f>SUM(L451:L451)</f>
        <v>110000</v>
      </c>
      <c r="M450" s="109"/>
      <c r="N450" s="190">
        <f>SUM(N451:N451)</f>
        <v>110000</v>
      </c>
      <c r="O450" s="190"/>
      <c r="P450" s="190">
        <f>SUM(P451:P451)</f>
        <v>110000</v>
      </c>
      <c r="Q450" s="109"/>
      <c r="R450" s="190">
        <f>SUM(R451:R451)</f>
        <v>110000</v>
      </c>
      <c r="S450" s="109"/>
      <c r="T450" s="190">
        <f>SUM(T451:T451)</f>
        <v>110000</v>
      </c>
      <c r="U450" s="190">
        <f aca="true" t="shared" si="466" ref="U450:Z450">SUM(U451:U452)</f>
        <v>151249</v>
      </c>
      <c r="V450" s="190">
        <f t="shared" si="466"/>
        <v>261249</v>
      </c>
      <c r="W450" s="190">
        <f t="shared" si="466"/>
        <v>0</v>
      </c>
      <c r="X450" s="190">
        <f t="shared" si="466"/>
        <v>261249</v>
      </c>
      <c r="Y450" s="190">
        <f t="shared" si="466"/>
        <v>0</v>
      </c>
      <c r="Z450" s="190">
        <f t="shared" si="466"/>
        <v>261249</v>
      </c>
      <c r="AA450" s="190">
        <f aca="true" t="shared" si="467" ref="AA450:AF450">SUM(AA451:AA452)</f>
        <v>0</v>
      </c>
      <c r="AB450" s="190">
        <f t="shared" si="467"/>
        <v>261249</v>
      </c>
      <c r="AC450" s="190">
        <f t="shared" si="467"/>
        <v>0</v>
      </c>
      <c r="AD450" s="190">
        <f t="shared" si="467"/>
        <v>261249</v>
      </c>
      <c r="AE450" s="190">
        <f t="shared" si="467"/>
        <v>0</v>
      </c>
      <c r="AF450" s="190">
        <f t="shared" si="467"/>
        <v>261249</v>
      </c>
      <c r="AG450" s="191">
        <f aca="true" t="shared" si="468" ref="AG450:AL450">SUM(AG451:AG452)</f>
        <v>0</v>
      </c>
      <c r="AH450" s="190">
        <f t="shared" si="468"/>
        <v>261249</v>
      </c>
      <c r="AI450" s="190">
        <f t="shared" si="468"/>
        <v>0</v>
      </c>
      <c r="AJ450" s="190">
        <f t="shared" si="468"/>
        <v>261249</v>
      </c>
      <c r="AK450" s="190">
        <f t="shared" si="468"/>
        <v>0</v>
      </c>
      <c r="AL450" s="190">
        <f t="shared" si="468"/>
        <v>261249</v>
      </c>
      <c r="AM450" s="190">
        <f>SUM(AM451:AM452)</f>
        <v>0</v>
      </c>
      <c r="AN450" s="190">
        <f>SUM(AN451:AN452)</f>
        <v>261249</v>
      </c>
      <c r="AO450" s="190">
        <f>SUM(AO451:AO452)</f>
        <v>1015811</v>
      </c>
      <c r="AP450" s="81">
        <f>SUM(AP451:AP452)</f>
        <v>151249</v>
      </c>
      <c r="AQ450" s="247">
        <f>SUM(AQ451:AQ452)</f>
        <v>700000</v>
      </c>
      <c r="AR450" s="274"/>
      <c r="AS450" s="244">
        <f t="shared" si="415"/>
        <v>700000</v>
      </c>
      <c r="AT450" s="103"/>
      <c r="AU450" s="103"/>
      <c r="AV450" s="103"/>
    </row>
    <row r="451" spans="1:48" ht="12.75" hidden="1">
      <c r="A451" s="31"/>
      <c r="B451" s="27">
        <v>6050</v>
      </c>
      <c r="C451" s="18" t="s">
        <v>26</v>
      </c>
      <c r="D451" s="104">
        <v>110000</v>
      </c>
      <c r="E451" s="106"/>
      <c r="F451" s="106">
        <f>E451+D451</f>
        <v>110000</v>
      </c>
      <c r="G451" s="109"/>
      <c r="H451" s="106">
        <f>G451+F451</f>
        <v>110000</v>
      </c>
      <c r="I451" s="109"/>
      <c r="J451" s="106">
        <f>I451+H451</f>
        <v>110000</v>
      </c>
      <c r="K451" s="110"/>
      <c r="L451" s="106">
        <f>K451+H451</f>
        <v>110000</v>
      </c>
      <c r="M451" s="109"/>
      <c r="N451" s="106">
        <f>M451+L451</f>
        <v>110000</v>
      </c>
      <c r="O451" s="106"/>
      <c r="P451" s="106">
        <f>O451+N451</f>
        <v>110000</v>
      </c>
      <c r="Q451" s="109"/>
      <c r="R451" s="106">
        <f>Q451+P451</f>
        <v>110000</v>
      </c>
      <c r="S451" s="109"/>
      <c r="T451" s="106">
        <f>S451+R451</f>
        <v>110000</v>
      </c>
      <c r="U451" s="109"/>
      <c r="V451" s="106">
        <f>U451+T451</f>
        <v>110000</v>
      </c>
      <c r="W451" s="109"/>
      <c r="X451" s="106">
        <f>W451+V451</f>
        <v>110000</v>
      </c>
      <c r="Y451" s="109"/>
      <c r="Z451" s="106">
        <f>Y451+X451</f>
        <v>110000</v>
      </c>
      <c r="AA451" s="109"/>
      <c r="AB451" s="106">
        <f>AA451+Z451</f>
        <v>110000</v>
      </c>
      <c r="AC451" s="109"/>
      <c r="AD451" s="106">
        <f>AC451+AB451</f>
        <v>110000</v>
      </c>
      <c r="AE451" s="109"/>
      <c r="AF451" s="106">
        <f>AE451+AD451</f>
        <v>110000</v>
      </c>
      <c r="AG451" s="147"/>
      <c r="AH451" s="106">
        <f>AG451+AF451</f>
        <v>110000</v>
      </c>
      <c r="AI451" s="109"/>
      <c r="AJ451" s="106">
        <f>AI451+AH451</f>
        <v>110000</v>
      </c>
      <c r="AK451" s="109"/>
      <c r="AL451" s="106">
        <f>AK451+AJ451</f>
        <v>110000</v>
      </c>
      <c r="AM451" s="109"/>
      <c r="AN451" s="106">
        <f>AM451+AL451</f>
        <v>110000</v>
      </c>
      <c r="AO451" s="106">
        <v>0</v>
      </c>
      <c r="AP451" s="113">
        <v>0</v>
      </c>
      <c r="AQ451" s="243">
        <f>200000+500000</f>
        <v>700000</v>
      </c>
      <c r="AR451" s="275"/>
      <c r="AS451" s="244">
        <f t="shared" si="415"/>
        <v>700000</v>
      </c>
      <c r="AT451" s="103"/>
      <c r="AU451" s="103"/>
      <c r="AV451" s="103"/>
    </row>
    <row r="452" spans="1:48" ht="12.75" hidden="1">
      <c r="A452" s="31"/>
      <c r="B452" s="27">
        <v>6059</v>
      </c>
      <c r="C452" s="18" t="s">
        <v>26</v>
      </c>
      <c r="D452" s="104"/>
      <c r="E452" s="106"/>
      <c r="F452" s="106"/>
      <c r="G452" s="109"/>
      <c r="H452" s="106"/>
      <c r="I452" s="109"/>
      <c r="J452" s="106"/>
      <c r="K452" s="110"/>
      <c r="L452" s="106"/>
      <c r="M452" s="109"/>
      <c r="N452" s="106"/>
      <c r="O452" s="106"/>
      <c r="P452" s="106"/>
      <c r="Q452" s="109"/>
      <c r="R452" s="106"/>
      <c r="S452" s="109"/>
      <c r="T452" s="106"/>
      <c r="U452" s="109">
        <v>151249</v>
      </c>
      <c r="V452" s="106">
        <f>U452+T452</f>
        <v>151249</v>
      </c>
      <c r="W452" s="109"/>
      <c r="X452" s="106">
        <f>W452+V452</f>
        <v>151249</v>
      </c>
      <c r="Y452" s="109"/>
      <c r="Z452" s="106">
        <f>Y452+X452</f>
        <v>151249</v>
      </c>
      <c r="AA452" s="109"/>
      <c r="AB452" s="106">
        <f>AA452+Z452</f>
        <v>151249</v>
      </c>
      <c r="AC452" s="109"/>
      <c r="AD452" s="106">
        <f>AC452+AB452</f>
        <v>151249</v>
      </c>
      <c r="AE452" s="109"/>
      <c r="AF452" s="106">
        <f>AE452+AD452</f>
        <v>151249</v>
      </c>
      <c r="AG452" s="147"/>
      <c r="AH452" s="106">
        <f>AG452+AF452</f>
        <v>151249</v>
      </c>
      <c r="AI452" s="109"/>
      <c r="AJ452" s="106">
        <f>AI452+AH452</f>
        <v>151249</v>
      </c>
      <c r="AK452" s="109"/>
      <c r="AL452" s="106">
        <f>AK452+AJ452</f>
        <v>151249</v>
      </c>
      <c r="AM452" s="109"/>
      <c r="AN452" s="106">
        <f>AM452+AL452</f>
        <v>151249</v>
      </c>
      <c r="AO452" s="106">
        <v>1015811</v>
      </c>
      <c r="AP452" s="113">
        <v>151249</v>
      </c>
      <c r="AQ452" s="243">
        <v>0</v>
      </c>
      <c r="AR452" s="275"/>
      <c r="AS452" s="244">
        <f t="shared" si="415"/>
        <v>0</v>
      </c>
      <c r="AT452" s="103"/>
      <c r="AU452" s="103"/>
      <c r="AV452" s="103"/>
    </row>
    <row r="453" spans="1:48" ht="12.75" hidden="1">
      <c r="A453" s="31">
        <v>92605</v>
      </c>
      <c r="B453" s="26"/>
      <c r="C453" s="19" t="s">
        <v>110</v>
      </c>
      <c r="D453" s="190">
        <f aca="true" t="shared" si="469" ref="D453:J453">SUM(D454:D463)</f>
        <v>149144</v>
      </c>
      <c r="E453" s="190">
        <f t="shared" si="469"/>
        <v>0</v>
      </c>
      <c r="F453" s="190">
        <f t="shared" si="469"/>
        <v>149144</v>
      </c>
      <c r="G453" s="190">
        <f t="shared" si="469"/>
        <v>0</v>
      </c>
      <c r="H453" s="190">
        <f t="shared" si="469"/>
        <v>149144</v>
      </c>
      <c r="I453" s="190">
        <f t="shared" si="469"/>
        <v>0</v>
      </c>
      <c r="J453" s="190">
        <f t="shared" si="469"/>
        <v>149144</v>
      </c>
      <c r="K453" s="110"/>
      <c r="L453" s="190">
        <f>SUM(L454:L463)</f>
        <v>149144</v>
      </c>
      <c r="M453" s="109"/>
      <c r="N453" s="190">
        <f>SUM(N454:N463)</f>
        <v>149144</v>
      </c>
      <c r="O453" s="190"/>
      <c r="P453" s="190">
        <f>SUM(P454:P465)</f>
        <v>149144</v>
      </c>
      <c r="Q453" s="109"/>
      <c r="R453" s="190">
        <f>SUM(R454:R465)</f>
        <v>149144</v>
      </c>
      <c r="S453" s="109"/>
      <c r="T453" s="190">
        <f aca="true" t="shared" si="470" ref="T453:Z453">SUM(T454:T465)</f>
        <v>149144</v>
      </c>
      <c r="U453" s="190">
        <f t="shared" si="470"/>
        <v>25979</v>
      </c>
      <c r="V453" s="190">
        <f t="shared" si="470"/>
        <v>175123</v>
      </c>
      <c r="W453" s="190">
        <f t="shared" si="470"/>
        <v>0</v>
      </c>
      <c r="X453" s="190">
        <f t="shared" si="470"/>
        <v>175123</v>
      </c>
      <c r="Y453" s="190">
        <f t="shared" si="470"/>
        <v>0</v>
      </c>
      <c r="Z453" s="190">
        <f t="shared" si="470"/>
        <v>175123</v>
      </c>
      <c r="AA453" s="190">
        <f aca="true" t="shared" si="471" ref="AA453:AF453">SUM(AA454:AA465)</f>
        <v>-4899</v>
      </c>
      <c r="AB453" s="190">
        <f t="shared" si="471"/>
        <v>170224</v>
      </c>
      <c r="AC453" s="190">
        <f t="shared" si="471"/>
        <v>0</v>
      </c>
      <c r="AD453" s="190">
        <f t="shared" si="471"/>
        <v>170224</v>
      </c>
      <c r="AE453" s="190">
        <f t="shared" si="471"/>
        <v>0</v>
      </c>
      <c r="AF453" s="190">
        <f t="shared" si="471"/>
        <v>170224</v>
      </c>
      <c r="AG453" s="191">
        <f aca="true" t="shared" si="472" ref="AG453:AL453">SUM(AG454:AG465)</f>
        <v>12000</v>
      </c>
      <c r="AH453" s="190">
        <f t="shared" si="472"/>
        <v>182224</v>
      </c>
      <c r="AI453" s="190">
        <f t="shared" si="472"/>
        <v>0</v>
      </c>
      <c r="AJ453" s="190">
        <f t="shared" si="472"/>
        <v>182224</v>
      </c>
      <c r="AK453" s="190">
        <f t="shared" si="472"/>
        <v>18035</v>
      </c>
      <c r="AL453" s="190">
        <f t="shared" si="472"/>
        <v>200259</v>
      </c>
      <c r="AM453" s="190">
        <f>SUM(AM454:AM465)</f>
        <v>0</v>
      </c>
      <c r="AN453" s="190">
        <f>SUM(AN454:AN465)</f>
        <v>200259</v>
      </c>
      <c r="AO453" s="190">
        <f>SUM(AO454:AO465)</f>
        <v>192188</v>
      </c>
      <c r="AP453" s="81">
        <f>SUM(AP454:AP465)</f>
        <v>144385</v>
      </c>
      <c r="AQ453" s="247">
        <f>SUM(AQ454:AQ465)</f>
        <v>186300</v>
      </c>
      <c r="AR453" s="274"/>
      <c r="AS453" s="244">
        <f t="shared" si="415"/>
        <v>186300</v>
      </c>
      <c r="AT453" s="103"/>
      <c r="AU453" s="103"/>
      <c r="AV453" s="103"/>
    </row>
    <row r="454" spans="1:48" ht="25.5" hidden="1">
      <c r="A454" s="31"/>
      <c r="B454" s="27">
        <v>2820</v>
      </c>
      <c r="C454" s="18" t="s">
        <v>111</v>
      </c>
      <c r="D454" s="104">
        <v>80000</v>
      </c>
      <c r="E454" s="106"/>
      <c r="F454" s="106">
        <f>E454+D454</f>
        <v>80000</v>
      </c>
      <c r="G454" s="109"/>
      <c r="H454" s="106">
        <f aca="true" t="shared" si="473" ref="H454:H463">G454+F454</f>
        <v>80000</v>
      </c>
      <c r="I454" s="109"/>
      <c r="J454" s="106">
        <f aca="true" t="shared" si="474" ref="J454:J463">I454+H454</f>
        <v>80000</v>
      </c>
      <c r="K454" s="110"/>
      <c r="L454" s="106">
        <f aca="true" t="shared" si="475" ref="L454:L463">K454+H454</f>
        <v>80000</v>
      </c>
      <c r="M454" s="109"/>
      <c r="N454" s="106">
        <f>M454+L454</f>
        <v>80000</v>
      </c>
      <c r="O454" s="106"/>
      <c r="P454" s="106">
        <f>O454+N454</f>
        <v>80000</v>
      </c>
      <c r="Q454" s="109"/>
      <c r="R454" s="106">
        <f>Q454+P454</f>
        <v>80000</v>
      </c>
      <c r="S454" s="109"/>
      <c r="T454" s="106">
        <f aca="true" t="shared" si="476" ref="T454:T465">S454+R454</f>
        <v>80000</v>
      </c>
      <c r="U454" s="109"/>
      <c r="V454" s="106">
        <f aca="true" t="shared" si="477" ref="V454:V467">U454+T454</f>
        <v>80000</v>
      </c>
      <c r="W454" s="109"/>
      <c r="X454" s="106">
        <f aca="true" t="shared" si="478" ref="X454:X465">W454+V454</f>
        <v>80000</v>
      </c>
      <c r="Y454" s="109"/>
      <c r="Z454" s="106">
        <f aca="true" t="shared" si="479" ref="Z454:Z465">Y454+X454</f>
        <v>80000</v>
      </c>
      <c r="AA454" s="109"/>
      <c r="AB454" s="106">
        <f aca="true" t="shared" si="480" ref="AB454:AB465">AA454+Z454</f>
        <v>80000</v>
      </c>
      <c r="AC454" s="109"/>
      <c r="AD454" s="106">
        <f aca="true" t="shared" si="481" ref="AD454:AD465">AC454+AB454</f>
        <v>80000</v>
      </c>
      <c r="AE454" s="109"/>
      <c r="AF454" s="106">
        <f aca="true" t="shared" si="482" ref="AF454:AF465">AE454+AD454</f>
        <v>80000</v>
      </c>
      <c r="AG454" s="147"/>
      <c r="AH454" s="106">
        <f aca="true" t="shared" si="483" ref="AH454:AH465">AG454+AF454</f>
        <v>80000</v>
      </c>
      <c r="AI454" s="109"/>
      <c r="AJ454" s="106">
        <f aca="true" t="shared" si="484" ref="AJ454:AJ465">AI454+AH454</f>
        <v>80000</v>
      </c>
      <c r="AK454" s="109"/>
      <c r="AL454" s="106">
        <f aca="true" t="shared" si="485" ref="AL454:AL465">AK454+AJ454</f>
        <v>80000</v>
      </c>
      <c r="AM454" s="109"/>
      <c r="AN454" s="106">
        <f aca="true" t="shared" si="486" ref="AN454:AN465">AM454+AL454</f>
        <v>80000</v>
      </c>
      <c r="AO454" s="106">
        <v>60000</v>
      </c>
      <c r="AP454" s="113">
        <v>62500</v>
      </c>
      <c r="AQ454" s="243">
        <v>80000</v>
      </c>
      <c r="AR454" s="275"/>
      <c r="AS454" s="244">
        <f t="shared" si="415"/>
        <v>80000</v>
      </c>
      <c r="AT454" s="103"/>
      <c r="AU454" s="103"/>
      <c r="AV454" s="103"/>
    </row>
    <row r="455" spans="1:48" ht="12.75" hidden="1">
      <c r="A455" s="31"/>
      <c r="B455" s="27">
        <v>4010</v>
      </c>
      <c r="C455" s="18" t="s">
        <v>37</v>
      </c>
      <c r="D455" s="104"/>
      <c r="E455" s="106"/>
      <c r="F455" s="106"/>
      <c r="G455" s="109"/>
      <c r="H455" s="106"/>
      <c r="I455" s="109"/>
      <c r="J455" s="106"/>
      <c r="K455" s="110"/>
      <c r="L455" s="106"/>
      <c r="M455" s="109"/>
      <c r="N455" s="106"/>
      <c r="O455" s="106"/>
      <c r="P455" s="106"/>
      <c r="Q455" s="109"/>
      <c r="R455" s="106"/>
      <c r="S455" s="109"/>
      <c r="T455" s="106"/>
      <c r="U455" s="109">
        <v>17850</v>
      </c>
      <c r="V455" s="106">
        <f t="shared" si="477"/>
        <v>17850</v>
      </c>
      <c r="W455" s="109"/>
      <c r="X455" s="106">
        <f t="shared" si="478"/>
        <v>17850</v>
      </c>
      <c r="Y455" s="109"/>
      <c r="Z455" s="106">
        <f t="shared" si="479"/>
        <v>17850</v>
      </c>
      <c r="AA455" s="109">
        <v>-17850</v>
      </c>
      <c r="AB455" s="106">
        <f t="shared" si="480"/>
        <v>0</v>
      </c>
      <c r="AC455" s="109"/>
      <c r="AD455" s="106">
        <f t="shared" si="481"/>
        <v>0</v>
      </c>
      <c r="AE455" s="109"/>
      <c r="AF455" s="106">
        <f t="shared" si="482"/>
        <v>0</v>
      </c>
      <c r="AG455" s="147"/>
      <c r="AH455" s="106">
        <f t="shared" si="483"/>
        <v>0</v>
      </c>
      <c r="AI455" s="109"/>
      <c r="AJ455" s="106">
        <f t="shared" si="484"/>
        <v>0</v>
      </c>
      <c r="AK455" s="109"/>
      <c r="AL455" s="106">
        <f t="shared" si="485"/>
        <v>0</v>
      </c>
      <c r="AM455" s="109"/>
      <c r="AN455" s="106">
        <f t="shared" si="486"/>
        <v>0</v>
      </c>
      <c r="AO455" s="106">
        <f>AN455+AM455</f>
        <v>0</v>
      </c>
      <c r="AP455" s="113">
        <f>AO455+AN455</f>
        <v>0</v>
      </c>
      <c r="AQ455" s="243">
        <f>AP455+AO455</f>
        <v>0</v>
      </c>
      <c r="AR455" s="275"/>
      <c r="AS455" s="244">
        <f t="shared" si="415"/>
        <v>0</v>
      </c>
      <c r="AT455" s="103"/>
      <c r="AU455" s="103"/>
      <c r="AV455" s="103"/>
    </row>
    <row r="456" spans="1:48" ht="12.75" hidden="1">
      <c r="A456" s="21"/>
      <c r="B456" s="27">
        <v>4110</v>
      </c>
      <c r="C456" s="18" t="s">
        <v>39</v>
      </c>
      <c r="D456" s="104">
        <v>1628</v>
      </c>
      <c r="E456" s="106"/>
      <c r="F456" s="106">
        <f aca="true" t="shared" si="487" ref="F456:F463">E456+D456</f>
        <v>1628</v>
      </c>
      <c r="G456" s="109"/>
      <c r="H456" s="106">
        <f t="shared" si="473"/>
        <v>1628</v>
      </c>
      <c r="I456" s="109"/>
      <c r="J456" s="106">
        <f t="shared" si="474"/>
        <v>1628</v>
      </c>
      <c r="K456" s="110"/>
      <c r="L456" s="106">
        <f t="shared" si="475"/>
        <v>1628</v>
      </c>
      <c r="M456" s="109"/>
      <c r="N456" s="106">
        <f aca="true" t="shared" si="488" ref="N456:N463">M456+L456</f>
        <v>1628</v>
      </c>
      <c r="O456" s="106"/>
      <c r="P456" s="106">
        <f aca="true" t="shared" si="489" ref="P456:P463">O456+N456</f>
        <v>1628</v>
      </c>
      <c r="Q456" s="109"/>
      <c r="R456" s="106">
        <f aca="true" t="shared" si="490" ref="R456:R463">Q456+P456</f>
        <v>1628</v>
      </c>
      <c r="S456" s="109"/>
      <c r="T456" s="106">
        <f t="shared" si="476"/>
        <v>1628</v>
      </c>
      <c r="U456" s="109">
        <f>100+2688</f>
        <v>2788</v>
      </c>
      <c r="V456" s="106">
        <f t="shared" si="477"/>
        <v>4416</v>
      </c>
      <c r="W456" s="109"/>
      <c r="X456" s="106">
        <f t="shared" si="478"/>
        <v>4416</v>
      </c>
      <c r="Y456" s="109"/>
      <c r="Z456" s="106">
        <f t="shared" si="479"/>
        <v>4416</v>
      </c>
      <c r="AA456" s="109"/>
      <c r="AB456" s="106">
        <f t="shared" si="480"/>
        <v>4416</v>
      </c>
      <c r="AC456" s="109"/>
      <c r="AD456" s="106">
        <f t="shared" si="481"/>
        <v>4416</v>
      </c>
      <c r="AE456" s="109"/>
      <c r="AF456" s="106">
        <f t="shared" si="482"/>
        <v>4416</v>
      </c>
      <c r="AG456" s="147"/>
      <c r="AH456" s="106">
        <f t="shared" si="483"/>
        <v>4416</v>
      </c>
      <c r="AI456" s="109"/>
      <c r="AJ456" s="106">
        <f t="shared" si="484"/>
        <v>4416</v>
      </c>
      <c r="AK456" s="109"/>
      <c r="AL456" s="106">
        <f t="shared" si="485"/>
        <v>4416</v>
      </c>
      <c r="AM456" s="109"/>
      <c r="AN456" s="106">
        <f t="shared" si="486"/>
        <v>4416</v>
      </c>
      <c r="AO456" s="106">
        <v>985</v>
      </c>
      <c r="AP456" s="113">
        <v>851</v>
      </c>
      <c r="AQ456" s="243">
        <v>1500</v>
      </c>
      <c r="AR456" s="275"/>
      <c r="AS456" s="244">
        <f t="shared" si="415"/>
        <v>1500</v>
      </c>
      <c r="AT456" s="103"/>
      <c r="AU456" s="103"/>
      <c r="AV456" s="103"/>
    </row>
    <row r="457" spans="1:49" ht="12.75" hidden="1">
      <c r="A457" s="21"/>
      <c r="B457" s="27">
        <v>4120</v>
      </c>
      <c r="C457" s="18" t="s">
        <v>40</v>
      </c>
      <c r="D457" s="104">
        <v>216</v>
      </c>
      <c r="E457" s="106"/>
      <c r="F457" s="106">
        <f t="shared" si="487"/>
        <v>216</v>
      </c>
      <c r="G457" s="109"/>
      <c r="H457" s="106">
        <f t="shared" si="473"/>
        <v>216</v>
      </c>
      <c r="I457" s="109"/>
      <c r="J457" s="106">
        <f t="shared" si="474"/>
        <v>216</v>
      </c>
      <c r="K457" s="110"/>
      <c r="L457" s="106">
        <f t="shared" si="475"/>
        <v>216</v>
      </c>
      <c r="M457" s="109"/>
      <c r="N457" s="106">
        <f t="shared" si="488"/>
        <v>216</v>
      </c>
      <c r="O457" s="106"/>
      <c r="P457" s="106">
        <f t="shared" si="489"/>
        <v>216</v>
      </c>
      <c r="Q457" s="109"/>
      <c r="R457" s="106">
        <f t="shared" si="490"/>
        <v>216</v>
      </c>
      <c r="S457" s="109"/>
      <c r="T457" s="106">
        <f t="shared" si="476"/>
        <v>216</v>
      </c>
      <c r="U457" s="109">
        <f>100+441</f>
        <v>541</v>
      </c>
      <c r="V457" s="106">
        <f t="shared" si="477"/>
        <v>757</v>
      </c>
      <c r="W457" s="109"/>
      <c r="X457" s="106">
        <f t="shared" si="478"/>
        <v>757</v>
      </c>
      <c r="Y457" s="109"/>
      <c r="Z457" s="106">
        <f t="shared" si="479"/>
        <v>757</v>
      </c>
      <c r="AA457" s="109"/>
      <c r="AB457" s="106">
        <f t="shared" si="480"/>
        <v>757</v>
      </c>
      <c r="AC457" s="109"/>
      <c r="AD457" s="106">
        <f t="shared" si="481"/>
        <v>757</v>
      </c>
      <c r="AE457" s="109"/>
      <c r="AF457" s="106">
        <f t="shared" si="482"/>
        <v>757</v>
      </c>
      <c r="AG457" s="147"/>
      <c r="AH457" s="106">
        <f t="shared" si="483"/>
        <v>757</v>
      </c>
      <c r="AI457" s="109"/>
      <c r="AJ457" s="106">
        <f t="shared" si="484"/>
        <v>757</v>
      </c>
      <c r="AK457" s="109"/>
      <c r="AL457" s="106">
        <f t="shared" si="485"/>
        <v>757</v>
      </c>
      <c r="AM457" s="109"/>
      <c r="AN457" s="106">
        <f t="shared" si="486"/>
        <v>757</v>
      </c>
      <c r="AO457" s="106">
        <v>169</v>
      </c>
      <c r="AP457" s="113">
        <v>116</v>
      </c>
      <c r="AQ457" s="243">
        <v>200</v>
      </c>
      <c r="AR457" s="275"/>
      <c r="AS457" s="244">
        <f t="shared" si="415"/>
        <v>200</v>
      </c>
      <c r="AT457" s="103"/>
      <c r="AU457" s="103"/>
      <c r="AV457" s="103"/>
      <c r="AW457">
        <f>12*2000+12*620</f>
        <v>31440</v>
      </c>
    </row>
    <row r="458" spans="1:49" ht="12.75" hidden="1">
      <c r="A458" s="21"/>
      <c r="B458" s="27">
        <v>4170</v>
      </c>
      <c r="C458" s="18" t="s">
        <v>42</v>
      </c>
      <c r="D458" s="104">
        <v>8800</v>
      </c>
      <c r="E458" s="106"/>
      <c r="F458" s="106">
        <f t="shared" si="487"/>
        <v>8800</v>
      </c>
      <c r="G458" s="109"/>
      <c r="H458" s="106">
        <f t="shared" si="473"/>
        <v>8800</v>
      </c>
      <c r="I458" s="109"/>
      <c r="J458" s="106">
        <f t="shared" si="474"/>
        <v>8800</v>
      </c>
      <c r="K458" s="110"/>
      <c r="L458" s="106">
        <f t="shared" si="475"/>
        <v>8800</v>
      </c>
      <c r="M458" s="109"/>
      <c r="N458" s="106">
        <f t="shared" si="488"/>
        <v>8800</v>
      </c>
      <c r="O458" s="106"/>
      <c r="P458" s="106">
        <f t="shared" si="489"/>
        <v>8800</v>
      </c>
      <c r="Q458" s="109"/>
      <c r="R458" s="106">
        <f t="shared" si="490"/>
        <v>8800</v>
      </c>
      <c r="S458" s="109"/>
      <c r="T458" s="106">
        <f t="shared" si="476"/>
        <v>8800</v>
      </c>
      <c r="U458" s="109">
        <v>800</v>
      </c>
      <c r="V458" s="106">
        <f t="shared" si="477"/>
        <v>9600</v>
      </c>
      <c r="W458" s="109"/>
      <c r="X458" s="106">
        <f t="shared" si="478"/>
        <v>9600</v>
      </c>
      <c r="Y458" s="109">
        <v>1340</v>
      </c>
      <c r="Z458" s="106">
        <f t="shared" si="479"/>
        <v>10940</v>
      </c>
      <c r="AA458" s="109">
        <f>12451-500</f>
        <v>11951</v>
      </c>
      <c r="AB458" s="106">
        <f t="shared" si="480"/>
        <v>22891</v>
      </c>
      <c r="AC458" s="109"/>
      <c r="AD458" s="106">
        <f t="shared" si="481"/>
        <v>22891</v>
      </c>
      <c r="AE458" s="109"/>
      <c r="AF458" s="106">
        <f t="shared" si="482"/>
        <v>22891</v>
      </c>
      <c r="AG458" s="147"/>
      <c r="AH458" s="106">
        <f t="shared" si="483"/>
        <v>22891</v>
      </c>
      <c r="AI458" s="109"/>
      <c r="AJ458" s="106">
        <f t="shared" si="484"/>
        <v>22891</v>
      </c>
      <c r="AK458" s="109">
        <f>3035+6000</f>
        <v>9035</v>
      </c>
      <c r="AL458" s="106">
        <f t="shared" si="485"/>
        <v>31926</v>
      </c>
      <c r="AM458" s="109"/>
      <c r="AN458" s="106">
        <f t="shared" si="486"/>
        <v>31926</v>
      </c>
      <c r="AO458" s="106">
        <v>10285</v>
      </c>
      <c r="AP458" s="113">
        <v>14725</v>
      </c>
      <c r="AQ458" s="243">
        <v>30000</v>
      </c>
      <c r="AR458" s="275"/>
      <c r="AS458" s="244">
        <f t="shared" si="415"/>
        <v>30000</v>
      </c>
      <c r="AT458" s="103"/>
      <c r="AU458" s="103"/>
      <c r="AV458" s="103">
        <f>(AP458/3*4)</f>
        <v>19633.333333333332</v>
      </c>
      <c r="AW458" t="s">
        <v>183</v>
      </c>
    </row>
    <row r="459" spans="1:48" ht="12.75" hidden="1">
      <c r="A459" s="21"/>
      <c r="B459" s="27">
        <v>4210</v>
      </c>
      <c r="C459" s="18" t="s">
        <v>14</v>
      </c>
      <c r="D459" s="104">
        <v>20000</v>
      </c>
      <c r="E459" s="106"/>
      <c r="F459" s="106">
        <f t="shared" si="487"/>
        <v>20000</v>
      </c>
      <c r="G459" s="109"/>
      <c r="H459" s="106">
        <f t="shared" si="473"/>
        <v>20000</v>
      </c>
      <c r="I459" s="109"/>
      <c r="J459" s="106">
        <f t="shared" si="474"/>
        <v>20000</v>
      </c>
      <c r="K459" s="110"/>
      <c r="L459" s="106">
        <f t="shared" si="475"/>
        <v>20000</v>
      </c>
      <c r="M459" s="109"/>
      <c r="N459" s="106">
        <f t="shared" si="488"/>
        <v>20000</v>
      </c>
      <c r="O459" s="106">
        <v>-200</v>
      </c>
      <c r="P459" s="106">
        <f t="shared" si="489"/>
        <v>19800</v>
      </c>
      <c r="Q459" s="109"/>
      <c r="R459" s="106">
        <f t="shared" si="490"/>
        <v>19800</v>
      </c>
      <c r="S459" s="109"/>
      <c r="T459" s="106">
        <f t="shared" si="476"/>
        <v>19800</v>
      </c>
      <c r="U459" s="109">
        <v>4000</v>
      </c>
      <c r="V459" s="106">
        <f t="shared" si="477"/>
        <v>23800</v>
      </c>
      <c r="W459" s="109"/>
      <c r="X459" s="106">
        <f t="shared" si="478"/>
        <v>23800</v>
      </c>
      <c r="Y459" s="109"/>
      <c r="Z459" s="106">
        <f t="shared" si="479"/>
        <v>23800</v>
      </c>
      <c r="AA459" s="109"/>
      <c r="AB459" s="106">
        <f t="shared" si="480"/>
        <v>23800</v>
      </c>
      <c r="AC459" s="109"/>
      <c r="AD459" s="106">
        <f t="shared" si="481"/>
        <v>23800</v>
      </c>
      <c r="AE459" s="109">
        <v>2000</v>
      </c>
      <c r="AF459" s="106">
        <f t="shared" si="482"/>
        <v>25800</v>
      </c>
      <c r="AG459" s="147">
        <v>5000</v>
      </c>
      <c r="AH459" s="106">
        <f t="shared" si="483"/>
        <v>30800</v>
      </c>
      <c r="AI459" s="109"/>
      <c r="AJ459" s="106">
        <f t="shared" si="484"/>
        <v>30800</v>
      </c>
      <c r="AK459" s="109">
        <v>5000</v>
      </c>
      <c r="AL459" s="106">
        <f t="shared" si="485"/>
        <v>35800</v>
      </c>
      <c r="AM459" s="109"/>
      <c r="AN459" s="106">
        <f t="shared" si="486"/>
        <v>35800</v>
      </c>
      <c r="AO459" s="106">
        <v>27034</v>
      </c>
      <c r="AP459" s="113">
        <v>29044</v>
      </c>
      <c r="AQ459" s="243">
        <v>20000</v>
      </c>
      <c r="AR459" s="275"/>
      <c r="AS459" s="244">
        <f t="shared" si="415"/>
        <v>20000</v>
      </c>
      <c r="AT459" s="103"/>
      <c r="AU459" s="103"/>
      <c r="AV459" s="103"/>
    </row>
    <row r="460" spans="1:48" ht="12.75" hidden="1">
      <c r="A460" s="21"/>
      <c r="B460" s="27">
        <v>4260</v>
      </c>
      <c r="C460" s="18" t="s">
        <v>43</v>
      </c>
      <c r="D460" s="104">
        <v>17200</v>
      </c>
      <c r="E460" s="106"/>
      <c r="F460" s="106">
        <f t="shared" si="487"/>
        <v>17200</v>
      </c>
      <c r="G460" s="109"/>
      <c r="H460" s="106">
        <f t="shared" si="473"/>
        <v>17200</v>
      </c>
      <c r="I460" s="109"/>
      <c r="J460" s="106">
        <f t="shared" si="474"/>
        <v>17200</v>
      </c>
      <c r="K460" s="110"/>
      <c r="L460" s="106">
        <f t="shared" si="475"/>
        <v>17200</v>
      </c>
      <c r="M460" s="109"/>
      <c r="N460" s="106">
        <f t="shared" si="488"/>
        <v>17200</v>
      </c>
      <c r="O460" s="106"/>
      <c r="P460" s="106">
        <f t="shared" si="489"/>
        <v>17200</v>
      </c>
      <c r="Q460" s="109"/>
      <c r="R460" s="106">
        <f t="shared" si="490"/>
        <v>17200</v>
      </c>
      <c r="S460" s="109"/>
      <c r="T460" s="106">
        <f t="shared" si="476"/>
        <v>17200</v>
      </c>
      <c r="U460" s="109"/>
      <c r="V460" s="106">
        <f t="shared" si="477"/>
        <v>17200</v>
      </c>
      <c r="W460" s="109"/>
      <c r="X460" s="106">
        <f t="shared" si="478"/>
        <v>17200</v>
      </c>
      <c r="Y460" s="109"/>
      <c r="Z460" s="106">
        <f t="shared" si="479"/>
        <v>17200</v>
      </c>
      <c r="AA460" s="109"/>
      <c r="AB460" s="106">
        <f t="shared" si="480"/>
        <v>17200</v>
      </c>
      <c r="AC460" s="109"/>
      <c r="AD460" s="106">
        <f t="shared" si="481"/>
        <v>17200</v>
      </c>
      <c r="AE460" s="109">
        <v>600</v>
      </c>
      <c r="AF460" s="106">
        <f t="shared" si="482"/>
        <v>17800</v>
      </c>
      <c r="AG460" s="147">
        <v>7000</v>
      </c>
      <c r="AH460" s="106">
        <f t="shared" si="483"/>
        <v>24800</v>
      </c>
      <c r="AI460" s="109"/>
      <c r="AJ460" s="106">
        <f t="shared" si="484"/>
        <v>24800</v>
      </c>
      <c r="AK460" s="109">
        <v>4000</v>
      </c>
      <c r="AL460" s="106">
        <f t="shared" si="485"/>
        <v>28800</v>
      </c>
      <c r="AM460" s="109"/>
      <c r="AN460" s="106">
        <f t="shared" si="486"/>
        <v>28800</v>
      </c>
      <c r="AO460" s="106">
        <v>15494</v>
      </c>
      <c r="AP460" s="113">
        <v>20976</v>
      </c>
      <c r="AQ460" s="243">
        <v>36000</v>
      </c>
      <c r="AR460" s="275"/>
      <c r="AS460" s="244">
        <f t="shared" si="415"/>
        <v>36000</v>
      </c>
      <c r="AT460" s="103"/>
      <c r="AU460" s="164">
        <f>AQ460/(AP460/3*4)</f>
        <v>1.2871853546910754</v>
      </c>
      <c r="AV460" s="103">
        <f>(AP460/3*4)*130%</f>
        <v>36358.4</v>
      </c>
    </row>
    <row r="461" spans="1:48" ht="12.75" hidden="1">
      <c r="A461" s="21"/>
      <c r="B461" s="27">
        <v>4270</v>
      </c>
      <c r="C461" s="18" t="s">
        <v>24</v>
      </c>
      <c r="D461" s="104">
        <v>0</v>
      </c>
      <c r="E461" s="106"/>
      <c r="F461" s="106">
        <f t="shared" si="487"/>
        <v>0</v>
      </c>
      <c r="G461" s="109"/>
      <c r="H461" s="106">
        <f t="shared" si="473"/>
        <v>0</v>
      </c>
      <c r="I461" s="109"/>
      <c r="J461" s="106">
        <f t="shared" si="474"/>
        <v>0</v>
      </c>
      <c r="K461" s="110"/>
      <c r="L461" s="106">
        <f t="shared" si="475"/>
        <v>0</v>
      </c>
      <c r="M461" s="109"/>
      <c r="N461" s="106">
        <f t="shared" si="488"/>
        <v>0</v>
      </c>
      <c r="O461" s="106"/>
      <c r="P461" s="106">
        <f t="shared" si="489"/>
        <v>0</v>
      </c>
      <c r="Q461" s="109"/>
      <c r="R461" s="106">
        <f t="shared" si="490"/>
        <v>0</v>
      </c>
      <c r="S461" s="109"/>
      <c r="T461" s="106">
        <f t="shared" si="476"/>
        <v>0</v>
      </c>
      <c r="U461" s="109"/>
      <c r="V461" s="106">
        <f t="shared" si="477"/>
        <v>0</v>
      </c>
      <c r="W461" s="109"/>
      <c r="X461" s="106">
        <f t="shared" si="478"/>
        <v>0</v>
      </c>
      <c r="Y461" s="109"/>
      <c r="Z461" s="106">
        <f t="shared" si="479"/>
        <v>0</v>
      </c>
      <c r="AA461" s="109"/>
      <c r="AB461" s="106">
        <f t="shared" si="480"/>
        <v>0</v>
      </c>
      <c r="AC461" s="109"/>
      <c r="AD461" s="106">
        <f t="shared" si="481"/>
        <v>0</v>
      </c>
      <c r="AE461" s="109"/>
      <c r="AF461" s="106">
        <f t="shared" si="482"/>
        <v>0</v>
      </c>
      <c r="AG461" s="147"/>
      <c r="AH461" s="106">
        <f t="shared" si="483"/>
        <v>0</v>
      </c>
      <c r="AI461" s="109"/>
      <c r="AJ461" s="106">
        <f t="shared" si="484"/>
        <v>0</v>
      </c>
      <c r="AK461" s="109"/>
      <c r="AL461" s="106">
        <f t="shared" si="485"/>
        <v>0</v>
      </c>
      <c r="AM461" s="109"/>
      <c r="AN461" s="106">
        <f t="shared" si="486"/>
        <v>0</v>
      </c>
      <c r="AO461" s="106">
        <v>60000</v>
      </c>
      <c r="AP461" s="113">
        <v>0</v>
      </c>
      <c r="AQ461" s="243">
        <v>0</v>
      </c>
      <c r="AR461" s="275"/>
      <c r="AS461" s="244">
        <f t="shared" si="415"/>
        <v>0</v>
      </c>
      <c r="AT461" s="103"/>
      <c r="AU461" s="103"/>
      <c r="AV461" s="103"/>
    </row>
    <row r="462" spans="1:48" ht="12.75" hidden="1">
      <c r="A462" s="21"/>
      <c r="B462" s="27">
        <v>4300</v>
      </c>
      <c r="C462" s="18" t="s">
        <v>15</v>
      </c>
      <c r="D462" s="104">
        <v>20000</v>
      </c>
      <c r="E462" s="106"/>
      <c r="F462" s="106">
        <f t="shared" si="487"/>
        <v>20000</v>
      </c>
      <c r="G462" s="109"/>
      <c r="H462" s="106">
        <f t="shared" si="473"/>
        <v>20000</v>
      </c>
      <c r="I462" s="109"/>
      <c r="J462" s="106">
        <f t="shared" si="474"/>
        <v>20000</v>
      </c>
      <c r="K462" s="110"/>
      <c r="L462" s="106">
        <f t="shared" si="475"/>
        <v>20000</v>
      </c>
      <c r="M462" s="109"/>
      <c r="N462" s="106">
        <f t="shared" si="488"/>
        <v>20000</v>
      </c>
      <c r="O462" s="106"/>
      <c r="P462" s="106">
        <f t="shared" si="489"/>
        <v>20000</v>
      </c>
      <c r="Q462" s="109"/>
      <c r="R462" s="106">
        <f t="shared" si="490"/>
        <v>20000</v>
      </c>
      <c r="S462" s="109"/>
      <c r="T462" s="106">
        <f t="shared" si="476"/>
        <v>20000</v>
      </c>
      <c r="U462" s="109"/>
      <c r="V462" s="106">
        <f t="shared" si="477"/>
        <v>20000</v>
      </c>
      <c r="W462" s="109"/>
      <c r="X462" s="106">
        <f t="shared" si="478"/>
        <v>20000</v>
      </c>
      <c r="Y462" s="109">
        <v>-1340</v>
      </c>
      <c r="Z462" s="106">
        <f t="shared" si="479"/>
        <v>18660</v>
      </c>
      <c r="AA462" s="109"/>
      <c r="AB462" s="106">
        <f t="shared" si="480"/>
        <v>18660</v>
      </c>
      <c r="AC462" s="109"/>
      <c r="AD462" s="106">
        <f t="shared" si="481"/>
        <v>18660</v>
      </c>
      <c r="AE462" s="109">
        <v>-2600</v>
      </c>
      <c r="AF462" s="106">
        <f t="shared" si="482"/>
        <v>16060</v>
      </c>
      <c r="AG462" s="147"/>
      <c r="AH462" s="106">
        <f t="shared" si="483"/>
        <v>16060</v>
      </c>
      <c r="AI462" s="109">
        <v>-30</v>
      </c>
      <c r="AJ462" s="106">
        <f t="shared" si="484"/>
        <v>16030</v>
      </c>
      <c r="AK462" s="109"/>
      <c r="AL462" s="106">
        <f t="shared" si="485"/>
        <v>16030</v>
      </c>
      <c r="AM462" s="109"/>
      <c r="AN462" s="106">
        <f t="shared" si="486"/>
        <v>16030</v>
      </c>
      <c r="AO462" s="106">
        <v>17003</v>
      </c>
      <c r="AP462" s="113">
        <v>14297</v>
      </c>
      <c r="AQ462" s="243">
        <v>16000</v>
      </c>
      <c r="AR462" s="275"/>
      <c r="AS462" s="244">
        <f t="shared" si="415"/>
        <v>16000</v>
      </c>
      <c r="AT462" s="103"/>
      <c r="AU462" s="103"/>
      <c r="AV462" s="103">
        <f>(AP462/3*4)</f>
        <v>19062.666666666668</v>
      </c>
    </row>
    <row r="463" spans="1:48" ht="25.5" hidden="1">
      <c r="A463" s="21"/>
      <c r="B463" s="27">
        <v>4370</v>
      </c>
      <c r="C463" s="18" t="s">
        <v>47</v>
      </c>
      <c r="D463" s="104">
        <v>1300</v>
      </c>
      <c r="E463" s="106"/>
      <c r="F463" s="106">
        <f t="shared" si="487"/>
        <v>1300</v>
      </c>
      <c r="G463" s="109"/>
      <c r="H463" s="106">
        <f t="shared" si="473"/>
        <v>1300</v>
      </c>
      <c r="I463" s="109"/>
      <c r="J463" s="106">
        <f t="shared" si="474"/>
        <v>1300</v>
      </c>
      <c r="K463" s="110"/>
      <c r="L463" s="106">
        <f t="shared" si="475"/>
        <v>1300</v>
      </c>
      <c r="M463" s="109"/>
      <c r="N463" s="106">
        <f t="shared" si="488"/>
        <v>1300</v>
      </c>
      <c r="O463" s="106"/>
      <c r="P463" s="106">
        <f t="shared" si="489"/>
        <v>1300</v>
      </c>
      <c r="Q463" s="109"/>
      <c r="R463" s="106">
        <f t="shared" si="490"/>
        <v>1300</v>
      </c>
      <c r="S463" s="109"/>
      <c r="T463" s="106">
        <f t="shared" si="476"/>
        <v>1300</v>
      </c>
      <c r="U463" s="109"/>
      <c r="V463" s="106">
        <f t="shared" si="477"/>
        <v>1300</v>
      </c>
      <c r="W463" s="109"/>
      <c r="X463" s="106">
        <f t="shared" si="478"/>
        <v>1300</v>
      </c>
      <c r="Y463" s="109"/>
      <c r="Z463" s="106">
        <f t="shared" si="479"/>
        <v>1300</v>
      </c>
      <c r="AA463" s="109">
        <v>1000</v>
      </c>
      <c r="AB463" s="106">
        <f t="shared" si="480"/>
        <v>2300</v>
      </c>
      <c r="AC463" s="109"/>
      <c r="AD463" s="106">
        <f t="shared" si="481"/>
        <v>2300</v>
      </c>
      <c r="AE463" s="109"/>
      <c r="AF463" s="106">
        <f t="shared" si="482"/>
        <v>2300</v>
      </c>
      <c r="AG463" s="147"/>
      <c r="AH463" s="106">
        <f t="shared" si="483"/>
        <v>2300</v>
      </c>
      <c r="AI463" s="109"/>
      <c r="AJ463" s="106">
        <f t="shared" si="484"/>
        <v>2300</v>
      </c>
      <c r="AK463" s="109"/>
      <c r="AL463" s="106">
        <f t="shared" si="485"/>
        <v>2300</v>
      </c>
      <c r="AM463" s="109"/>
      <c r="AN463" s="106">
        <f t="shared" si="486"/>
        <v>2300</v>
      </c>
      <c r="AO463" s="106">
        <v>1218</v>
      </c>
      <c r="AP463" s="113">
        <v>1689</v>
      </c>
      <c r="AQ463" s="243">
        <v>2300</v>
      </c>
      <c r="AR463" s="275"/>
      <c r="AS463" s="244">
        <f t="shared" si="415"/>
        <v>2300</v>
      </c>
      <c r="AT463" s="103"/>
      <c r="AU463" s="103"/>
      <c r="AV463" s="103">
        <f>(AP463/3*4)</f>
        <v>2252</v>
      </c>
    </row>
    <row r="464" spans="1:48" ht="12.75" hidden="1">
      <c r="A464" s="21"/>
      <c r="B464" s="27">
        <v>4430</v>
      </c>
      <c r="C464" s="18" t="s">
        <v>16</v>
      </c>
      <c r="D464" s="104"/>
      <c r="E464" s="106"/>
      <c r="F464" s="106"/>
      <c r="G464" s="109"/>
      <c r="H464" s="106"/>
      <c r="I464" s="109"/>
      <c r="J464" s="106"/>
      <c r="K464" s="110"/>
      <c r="L464" s="106"/>
      <c r="M464" s="109"/>
      <c r="N464" s="106"/>
      <c r="O464" s="106"/>
      <c r="P464" s="106"/>
      <c r="Q464" s="109"/>
      <c r="R464" s="106"/>
      <c r="S464" s="109"/>
      <c r="T464" s="106"/>
      <c r="U464" s="109"/>
      <c r="V464" s="106"/>
      <c r="W464" s="109"/>
      <c r="X464" s="106"/>
      <c r="Y464" s="109"/>
      <c r="Z464" s="106"/>
      <c r="AA464" s="109"/>
      <c r="AB464" s="106"/>
      <c r="AC464" s="109"/>
      <c r="AD464" s="106"/>
      <c r="AE464" s="109"/>
      <c r="AF464" s="106"/>
      <c r="AG464" s="147"/>
      <c r="AH464" s="106"/>
      <c r="AI464" s="109">
        <v>30</v>
      </c>
      <c r="AJ464" s="106">
        <f t="shared" si="484"/>
        <v>30</v>
      </c>
      <c r="AK464" s="109"/>
      <c r="AL464" s="106">
        <f t="shared" si="485"/>
        <v>30</v>
      </c>
      <c r="AM464" s="109"/>
      <c r="AN464" s="106">
        <f t="shared" si="486"/>
        <v>30</v>
      </c>
      <c r="AO464" s="106">
        <v>0</v>
      </c>
      <c r="AP464" s="113">
        <v>30</v>
      </c>
      <c r="AQ464" s="243">
        <v>100</v>
      </c>
      <c r="AR464" s="275"/>
      <c r="AS464" s="244">
        <f t="shared" si="415"/>
        <v>100</v>
      </c>
      <c r="AT464" s="103"/>
      <c r="AU464" s="103"/>
      <c r="AV464" s="103">
        <f>(AP464/3*4)</f>
        <v>40</v>
      </c>
    </row>
    <row r="465" spans="1:48" ht="26.25" hidden="1" thickBot="1">
      <c r="A465" s="21"/>
      <c r="B465" s="27">
        <v>4740</v>
      </c>
      <c r="C465" s="18" t="s">
        <v>52</v>
      </c>
      <c r="D465" s="104"/>
      <c r="E465" s="106"/>
      <c r="F465" s="106"/>
      <c r="G465" s="109"/>
      <c r="H465" s="106"/>
      <c r="I465" s="109"/>
      <c r="J465" s="106"/>
      <c r="K465" s="110"/>
      <c r="L465" s="106"/>
      <c r="M465" s="109"/>
      <c r="N465" s="106"/>
      <c r="O465" s="106">
        <v>200</v>
      </c>
      <c r="P465" s="106">
        <f>O465+N465</f>
        <v>200</v>
      </c>
      <c r="Q465" s="109"/>
      <c r="R465" s="106">
        <f>Q465+P465</f>
        <v>200</v>
      </c>
      <c r="S465" s="109"/>
      <c r="T465" s="106">
        <f t="shared" si="476"/>
        <v>200</v>
      </c>
      <c r="U465" s="109"/>
      <c r="V465" s="106">
        <f t="shared" si="477"/>
        <v>200</v>
      </c>
      <c r="W465" s="109"/>
      <c r="X465" s="106">
        <f t="shared" si="478"/>
        <v>200</v>
      </c>
      <c r="Y465" s="109"/>
      <c r="Z465" s="106">
        <f t="shared" si="479"/>
        <v>200</v>
      </c>
      <c r="AA465" s="109"/>
      <c r="AB465" s="106">
        <f t="shared" si="480"/>
        <v>200</v>
      </c>
      <c r="AC465" s="109"/>
      <c r="AD465" s="106">
        <f t="shared" si="481"/>
        <v>200</v>
      </c>
      <c r="AE465" s="109"/>
      <c r="AF465" s="106">
        <f t="shared" si="482"/>
        <v>200</v>
      </c>
      <c r="AG465" s="147"/>
      <c r="AH465" s="106">
        <f t="shared" si="483"/>
        <v>200</v>
      </c>
      <c r="AI465" s="109"/>
      <c r="AJ465" s="106">
        <f t="shared" si="484"/>
        <v>200</v>
      </c>
      <c r="AK465" s="109"/>
      <c r="AL465" s="106">
        <f t="shared" si="485"/>
        <v>200</v>
      </c>
      <c r="AM465" s="109"/>
      <c r="AN465" s="106">
        <f t="shared" si="486"/>
        <v>200</v>
      </c>
      <c r="AO465" s="106">
        <v>0</v>
      </c>
      <c r="AP465" s="113">
        <v>157</v>
      </c>
      <c r="AQ465" s="243">
        <v>200</v>
      </c>
      <c r="AR465" s="275"/>
      <c r="AS465" s="244">
        <f t="shared" si="415"/>
        <v>200</v>
      </c>
      <c r="AT465" s="103"/>
      <c r="AU465" s="103"/>
      <c r="AV465" s="103"/>
    </row>
    <row r="466" spans="1:48" ht="13.5" hidden="1" thickBot="1">
      <c r="A466" s="31">
        <v>92695</v>
      </c>
      <c r="B466" s="26"/>
      <c r="C466" s="19" t="s">
        <v>13</v>
      </c>
      <c r="D466" s="104"/>
      <c r="E466" s="106"/>
      <c r="F466" s="106"/>
      <c r="G466" s="109"/>
      <c r="H466" s="106"/>
      <c r="I466" s="109"/>
      <c r="J466" s="106"/>
      <c r="K466" s="110"/>
      <c r="L466" s="106"/>
      <c r="M466" s="109"/>
      <c r="N466" s="106"/>
      <c r="O466" s="106"/>
      <c r="P466" s="106"/>
      <c r="Q466" s="109"/>
      <c r="R466" s="106"/>
      <c r="S466" s="109"/>
      <c r="T466" s="106"/>
      <c r="U466" s="190">
        <f aca="true" t="shared" si="491" ref="U466:AQ466">SUM(U467:U467)</f>
        <v>0</v>
      </c>
      <c r="V466" s="190">
        <f t="shared" si="491"/>
        <v>0</v>
      </c>
      <c r="W466" s="190">
        <f t="shared" si="491"/>
        <v>0</v>
      </c>
      <c r="X466" s="190">
        <f t="shared" si="491"/>
        <v>0</v>
      </c>
      <c r="Y466" s="190">
        <f t="shared" si="491"/>
        <v>0</v>
      </c>
      <c r="Z466" s="190">
        <f t="shared" si="491"/>
        <v>0</v>
      </c>
      <c r="AA466" s="190">
        <f t="shared" si="491"/>
        <v>0</v>
      </c>
      <c r="AB466" s="190">
        <f t="shared" si="491"/>
        <v>0</v>
      </c>
      <c r="AC466" s="190">
        <f t="shared" si="491"/>
        <v>0</v>
      </c>
      <c r="AD466" s="190">
        <f t="shared" si="491"/>
        <v>0</v>
      </c>
      <c r="AE466" s="190">
        <f t="shared" si="491"/>
        <v>0</v>
      </c>
      <c r="AF466" s="190">
        <f t="shared" si="491"/>
        <v>0</v>
      </c>
      <c r="AG466" s="191">
        <f t="shared" si="491"/>
        <v>0</v>
      </c>
      <c r="AH466" s="190">
        <f t="shared" si="491"/>
        <v>0</v>
      </c>
      <c r="AI466" s="190">
        <f t="shared" si="491"/>
        <v>0</v>
      </c>
      <c r="AJ466" s="190">
        <f t="shared" si="491"/>
        <v>0</v>
      </c>
      <c r="AK466" s="190">
        <f t="shared" si="491"/>
        <v>0</v>
      </c>
      <c r="AL466" s="190">
        <f t="shared" si="491"/>
        <v>0</v>
      </c>
      <c r="AM466" s="190">
        <f t="shared" si="491"/>
        <v>0</v>
      </c>
      <c r="AN466" s="190">
        <f t="shared" si="491"/>
        <v>0</v>
      </c>
      <c r="AO466" s="190">
        <f t="shared" si="491"/>
        <v>0</v>
      </c>
      <c r="AP466" s="81">
        <f t="shared" si="491"/>
        <v>0</v>
      </c>
      <c r="AQ466" s="247">
        <f t="shared" si="491"/>
        <v>0</v>
      </c>
      <c r="AR466" s="274"/>
      <c r="AS466" s="244">
        <f t="shared" si="415"/>
        <v>0</v>
      </c>
      <c r="AT466" s="103"/>
      <c r="AU466" s="103"/>
      <c r="AV466" s="103"/>
    </row>
    <row r="467" spans="1:48" ht="13.5" hidden="1" thickBot="1">
      <c r="A467" s="66"/>
      <c r="B467" s="56">
        <v>4430</v>
      </c>
      <c r="C467" s="57" t="s">
        <v>16</v>
      </c>
      <c r="D467" s="119"/>
      <c r="E467" s="120"/>
      <c r="F467" s="120"/>
      <c r="G467" s="121"/>
      <c r="H467" s="120"/>
      <c r="I467" s="121"/>
      <c r="J467" s="120"/>
      <c r="K467" s="122"/>
      <c r="L467" s="120"/>
      <c r="M467" s="121"/>
      <c r="N467" s="120"/>
      <c r="O467" s="120"/>
      <c r="P467" s="120"/>
      <c r="Q467" s="121"/>
      <c r="R467" s="120"/>
      <c r="S467" s="121"/>
      <c r="T467" s="120"/>
      <c r="U467" s="121">
        <v>0</v>
      </c>
      <c r="V467" s="120">
        <f t="shared" si="477"/>
        <v>0</v>
      </c>
      <c r="W467" s="121">
        <v>0</v>
      </c>
      <c r="X467" s="120">
        <f>W467+V467</f>
        <v>0</v>
      </c>
      <c r="Y467" s="121">
        <v>0</v>
      </c>
      <c r="Z467" s="120">
        <f>Y467+X467</f>
        <v>0</v>
      </c>
      <c r="AA467" s="121">
        <v>0</v>
      </c>
      <c r="AB467" s="120">
        <f>AA467+Z467</f>
        <v>0</v>
      </c>
      <c r="AC467" s="121">
        <v>0</v>
      </c>
      <c r="AD467" s="120">
        <f>AC467+AB467</f>
        <v>0</v>
      </c>
      <c r="AE467" s="121">
        <v>0</v>
      </c>
      <c r="AF467" s="120">
        <f>AE467+AD467</f>
        <v>0</v>
      </c>
      <c r="AG467" s="224">
        <v>0</v>
      </c>
      <c r="AH467" s="120">
        <f>AG467+AF467</f>
        <v>0</v>
      </c>
      <c r="AI467" s="121">
        <v>0</v>
      </c>
      <c r="AJ467" s="120">
        <f>AI467+AH467</f>
        <v>0</v>
      </c>
      <c r="AK467" s="121">
        <v>0</v>
      </c>
      <c r="AL467" s="120">
        <f>AK467+AJ467</f>
        <v>0</v>
      </c>
      <c r="AM467" s="121">
        <v>0</v>
      </c>
      <c r="AN467" s="120">
        <f>AM467+AL467</f>
        <v>0</v>
      </c>
      <c r="AO467" s="120">
        <f>AN467+AM467</f>
        <v>0</v>
      </c>
      <c r="AP467" s="139">
        <f>AO467+AN467</f>
        <v>0</v>
      </c>
      <c r="AQ467" s="254">
        <f>AP467+AO467</f>
        <v>0</v>
      </c>
      <c r="AR467" s="275"/>
      <c r="AS467" s="244">
        <f t="shared" si="415"/>
        <v>0</v>
      </c>
      <c r="AT467" s="103"/>
      <c r="AU467" s="103"/>
      <c r="AV467" s="103"/>
    </row>
    <row r="468" spans="1:48" ht="13.5" thickBot="1">
      <c r="A468" s="68"/>
      <c r="B468" s="69"/>
      <c r="C468" s="70" t="s">
        <v>112</v>
      </c>
      <c r="D468" s="236">
        <f aca="true" t="shared" si="492" ref="D468:N468">SUM(D473,D480,D493)</f>
        <v>4002000</v>
      </c>
      <c r="E468" s="236">
        <f t="shared" si="492"/>
        <v>0</v>
      </c>
      <c r="F468" s="236">
        <f t="shared" si="492"/>
        <v>4002000</v>
      </c>
      <c r="G468" s="236">
        <f t="shared" si="492"/>
        <v>212700</v>
      </c>
      <c r="H468" s="236">
        <f t="shared" si="492"/>
        <v>4214700</v>
      </c>
      <c r="I468" s="236">
        <f t="shared" si="492"/>
        <v>0</v>
      </c>
      <c r="J468" s="236">
        <f t="shared" si="492"/>
        <v>4214700</v>
      </c>
      <c r="K468" s="236">
        <f t="shared" si="492"/>
        <v>0</v>
      </c>
      <c r="L468" s="236">
        <f t="shared" si="492"/>
        <v>4214700</v>
      </c>
      <c r="M468" s="236">
        <f t="shared" si="492"/>
        <v>0</v>
      </c>
      <c r="N468" s="236">
        <f t="shared" si="492"/>
        <v>4214700</v>
      </c>
      <c r="O468" s="236"/>
      <c r="P468" s="236">
        <f>SUM(P473,P480,P493)</f>
        <v>4214700</v>
      </c>
      <c r="Q468" s="236">
        <f>SUM(Q473,Q480,Q493)</f>
        <v>0</v>
      </c>
      <c r="R468" s="236">
        <f>SUM(R473,R480,R493)</f>
        <v>4214700</v>
      </c>
      <c r="S468" s="236">
        <f>SUM(S473,S480,S493)</f>
        <v>7827</v>
      </c>
      <c r="T468" s="236">
        <f>SUM(T473,T480,T493)</f>
        <v>4222527</v>
      </c>
      <c r="U468" s="236">
        <f aca="true" t="shared" si="493" ref="U468:Z468">SUM(U473,U480,U493,U469)</f>
        <v>142013</v>
      </c>
      <c r="V468" s="236">
        <f t="shared" si="493"/>
        <v>4364540</v>
      </c>
      <c r="W468" s="236">
        <f t="shared" si="493"/>
        <v>0</v>
      </c>
      <c r="X468" s="236">
        <f t="shared" si="493"/>
        <v>4364540</v>
      </c>
      <c r="Y468" s="236">
        <f t="shared" si="493"/>
        <v>9765</v>
      </c>
      <c r="Z468" s="236">
        <f t="shared" si="493"/>
        <v>4374305</v>
      </c>
      <c r="AA468" s="236">
        <f aca="true" t="shared" si="494" ref="AA468:AF468">SUM(AA473,AA480,AA493,AA469)</f>
        <v>0</v>
      </c>
      <c r="AB468" s="236">
        <f t="shared" si="494"/>
        <v>4374305</v>
      </c>
      <c r="AC468" s="236">
        <f t="shared" si="494"/>
        <v>0</v>
      </c>
      <c r="AD468" s="236">
        <f t="shared" si="494"/>
        <v>4374305</v>
      </c>
      <c r="AE468" s="236">
        <f t="shared" si="494"/>
        <v>0</v>
      </c>
      <c r="AF468" s="236">
        <f t="shared" si="494"/>
        <v>4374305</v>
      </c>
      <c r="AG468" s="237">
        <f aca="true" t="shared" si="495" ref="AG468:AL468">SUM(AG473,AG480,AG493,AG469)</f>
        <v>0</v>
      </c>
      <c r="AH468" s="236">
        <f t="shared" si="495"/>
        <v>4374305</v>
      </c>
      <c r="AI468" s="236">
        <f t="shared" si="495"/>
        <v>0</v>
      </c>
      <c r="AJ468" s="236">
        <f t="shared" si="495"/>
        <v>4374305</v>
      </c>
      <c r="AK468" s="236">
        <f t="shared" si="495"/>
        <v>-572532</v>
      </c>
      <c r="AL468" s="236">
        <f t="shared" si="495"/>
        <v>3801773</v>
      </c>
      <c r="AM468" s="236">
        <f aca="true" t="shared" si="496" ref="AM468:AS468">SUM(AM473,AM480,AM493,AM469)</f>
        <v>-320</v>
      </c>
      <c r="AN468" s="236">
        <f t="shared" si="496"/>
        <v>3801453</v>
      </c>
      <c r="AO468" s="236">
        <f t="shared" si="496"/>
        <v>3940590</v>
      </c>
      <c r="AP468" s="84">
        <f t="shared" si="496"/>
        <v>2569383</v>
      </c>
      <c r="AQ468" s="255">
        <f t="shared" si="496"/>
        <v>3876440</v>
      </c>
      <c r="AR468" s="95">
        <f t="shared" si="496"/>
        <v>0</v>
      </c>
      <c r="AS468" s="264">
        <f t="shared" si="496"/>
        <v>3876440</v>
      </c>
      <c r="AT468" s="103"/>
      <c r="AU468" s="103"/>
      <c r="AV468" s="103"/>
    </row>
    <row r="469" spans="1:48" ht="12.75" hidden="1">
      <c r="A469" s="228" t="s">
        <v>4</v>
      </c>
      <c r="B469" s="229"/>
      <c r="C469" s="230" t="s">
        <v>5</v>
      </c>
      <c r="D469" s="231"/>
      <c r="E469" s="231"/>
      <c r="F469" s="231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  <c r="Q469" s="231"/>
      <c r="R469" s="231"/>
      <c r="S469" s="231"/>
      <c r="T469" s="231"/>
      <c r="U469" s="232">
        <f aca="true" t="shared" si="497" ref="U469:AS469">SUM(U470)</f>
        <v>142013</v>
      </c>
      <c r="V469" s="232">
        <f t="shared" si="497"/>
        <v>142013</v>
      </c>
      <c r="W469" s="232">
        <f t="shared" si="497"/>
        <v>0</v>
      </c>
      <c r="X469" s="232">
        <f t="shared" si="497"/>
        <v>142013</v>
      </c>
      <c r="Y469" s="232">
        <f t="shared" si="497"/>
        <v>0</v>
      </c>
      <c r="Z469" s="232">
        <f t="shared" si="497"/>
        <v>142013</v>
      </c>
      <c r="AA469" s="232">
        <f t="shared" si="497"/>
        <v>0</v>
      </c>
      <c r="AB469" s="232">
        <f t="shared" si="497"/>
        <v>142013</v>
      </c>
      <c r="AC469" s="232">
        <f t="shared" si="497"/>
        <v>0</v>
      </c>
      <c r="AD469" s="232">
        <f t="shared" si="497"/>
        <v>142013</v>
      </c>
      <c r="AE469" s="232">
        <f t="shared" si="497"/>
        <v>0</v>
      </c>
      <c r="AF469" s="232">
        <f t="shared" si="497"/>
        <v>142013</v>
      </c>
      <c r="AG469" s="233">
        <f t="shared" si="497"/>
        <v>0</v>
      </c>
      <c r="AH469" s="232">
        <f t="shared" si="497"/>
        <v>142013</v>
      </c>
      <c r="AI469" s="232">
        <f t="shared" si="497"/>
        <v>0</v>
      </c>
      <c r="AJ469" s="232">
        <f t="shared" si="497"/>
        <v>142013</v>
      </c>
      <c r="AK469" s="232">
        <f t="shared" si="497"/>
        <v>0</v>
      </c>
      <c r="AL469" s="232">
        <f t="shared" si="497"/>
        <v>142013</v>
      </c>
      <c r="AM469" s="232">
        <f t="shared" si="497"/>
        <v>0</v>
      </c>
      <c r="AN469" s="232">
        <f t="shared" si="497"/>
        <v>142013</v>
      </c>
      <c r="AO469" s="232">
        <f t="shared" si="497"/>
        <v>204751</v>
      </c>
      <c r="AP469" s="234">
        <f t="shared" si="497"/>
        <v>140649</v>
      </c>
      <c r="AQ469" s="256">
        <f t="shared" si="497"/>
        <v>0</v>
      </c>
      <c r="AR469" s="235">
        <f t="shared" si="497"/>
        <v>0</v>
      </c>
      <c r="AS469" s="271">
        <f t="shared" si="497"/>
        <v>0</v>
      </c>
      <c r="AT469" s="103"/>
      <c r="AU469" s="103"/>
      <c r="AV469" s="103"/>
    </row>
    <row r="470" spans="1:48" ht="12.75" hidden="1">
      <c r="A470" s="49" t="s">
        <v>12</v>
      </c>
      <c r="B470" s="26"/>
      <c r="C470" s="19" t="s">
        <v>13</v>
      </c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90">
        <f aca="true" t="shared" si="498" ref="U470:Z470">SUM(U471:U472)</f>
        <v>142013</v>
      </c>
      <c r="V470" s="190">
        <f t="shared" si="498"/>
        <v>142013</v>
      </c>
      <c r="W470" s="190">
        <f t="shared" si="498"/>
        <v>0</v>
      </c>
      <c r="X470" s="190">
        <f t="shared" si="498"/>
        <v>142013</v>
      </c>
      <c r="Y470" s="190">
        <f t="shared" si="498"/>
        <v>0</v>
      </c>
      <c r="Z470" s="190">
        <f t="shared" si="498"/>
        <v>142013</v>
      </c>
      <c r="AA470" s="190">
        <f aca="true" t="shared" si="499" ref="AA470:AF470">SUM(AA471:AA472)</f>
        <v>0</v>
      </c>
      <c r="AB470" s="190">
        <f t="shared" si="499"/>
        <v>142013</v>
      </c>
      <c r="AC470" s="190">
        <f t="shared" si="499"/>
        <v>0</v>
      </c>
      <c r="AD470" s="190">
        <f t="shared" si="499"/>
        <v>142013</v>
      </c>
      <c r="AE470" s="190">
        <f t="shared" si="499"/>
        <v>0</v>
      </c>
      <c r="AF470" s="190">
        <f t="shared" si="499"/>
        <v>142013</v>
      </c>
      <c r="AG470" s="191">
        <f aca="true" t="shared" si="500" ref="AG470:AL470">SUM(AG471:AG472)</f>
        <v>0</v>
      </c>
      <c r="AH470" s="190">
        <f t="shared" si="500"/>
        <v>142013</v>
      </c>
      <c r="AI470" s="190">
        <f t="shared" si="500"/>
        <v>0</v>
      </c>
      <c r="AJ470" s="190">
        <f t="shared" si="500"/>
        <v>142013</v>
      </c>
      <c r="AK470" s="190">
        <f t="shared" si="500"/>
        <v>0</v>
      </c>
      <c r="AL470" s="190">
        <f t="shared" si="500"/>
        <v>142013</v>
      </c>
      <c r="AM470" s="190">
        <f aca="true" t="shared" si="501" ref="AM470:AS470">SUM(AM471:AM472)</f>
        <v>0</v>
      </c>
      <c r="AN470" s="190">
        <f t="shared" si="501"/>
        <v>142013</v>
      </c>
      <c r="AO470" s="190">
        <f t="shared" si="501"/>
        <v>204751</v>
      </c>
      <c r="AP470" s="81">
        <f t="shared" si="501"/>
        <v>140649</v>
      </c>
      <c r="AQ470" s="247">
        <f t="shared" si="501"/>
        <v>0</v>
      </c>
      <c r="AR470" s="82">
        <f t="shared" si="501"/>
        <v>0</v>
      </c>
      <c r="AS470" s="269">
        <f t="shared" si="501"/>
        <v>0</v>
      </c>
      <c r="AT470" s="103"/>
      <c r="AU470" s="103"/>
      <c r="AV470" s="103"/>
    </row>
    <row r="471" spans="1:53" ht="12.75" hidden="1">
      <c r="A471" s="21"/>
      <c r="B471" s="27">
        <v>4300</v>
      </c>
      <c r="C471" s="18" t="s">
        <v>15</v>
      </c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04">
        <v>2785</v>
      </c>
      <c r="V471" s="106">
        <f>U471+R471</f>
        <v>2785</v>
      </c>
      <c r="W471" s="104"/>
      <c r="X471" s="106">
        <v>2785</v>
      </c>
      <c r="Y471" s="104"/>
      <c r="Z471" s="106">
        <v>2785</v>
      </c>
      <c r="AA471" s="104"/>
      <c r="AB471" s="106">
        <v>2785</v>
      </c>
      <c r="AC471" s="104"/>
      <c r="AD471" s="106">
        <v>2785</v>
      </c>
      <c r="AE471" s="104"/>
      <c r="AF471" s="106">
        <v>2785</v>
      </c>
      <c r="AG471" s="195"/>
      <c r="AH471" s="106">
        <v>2785</v>
      </c>
      <c r="AI471" s="104"/>
      <c r="AJ471" s="106">
        <v>2785</v>
      </c>
      <c r="AK471" s="104"/>
      <c r="AL471" s="106">
        <v>2785</v>
      </c>
      <c r="AM471" s="104"/>
      <c r="AN471" s="106">
        <f>AL471+AM471</f>
        <v>2785</v>
      </c>
      <c r="AO471" s="106">
        <v>2376</v>
      </c>
      <c r="AP471" s="113">
        <v>1441</v>
      </c>
      <c r="AQ471" s="257"/>
      <c r="AR471" s="168"/>
      <c r="AS471" s="272"/>
      <c r="AT471" s="103"/>
      <c r="AU471" s="103"/>
      <c r="AV471" s="103"/>
      <c r="AW471" s="138"/>
      <c r="AX471" s="138"/>
      <c r="AY471" s="138">
        <f>142013*2/102</f>
        <v>2784.5686274509803</v>
      </c>
      <c r="BA471">
        <f>3144076+142013</f>
        <v>3286089</v>
      </c>
    </row>
    <row r="472" spans="1:51" ht="12.75" hidden="1">
      <c r="A472" s="21"/>
      <c r="B472" s="27">
        <v>4430</v>
      </c>
      <c r="C472" s="18" t="s">
        <v>16</v>
      </c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04">
        <v>139228</v>
      </c>
      <c r="V472" s="106">
        <f>U472+R472</f>
        <v>139228</v>
      </c>
      <c r="W472" s="104"/>
      <c r="X472" s="106">
        <v>139228</v>
      </c>
      <c r="Y472" s="104"/>
      <c r="Z472" s="106">
        <v>139228</v>
      </c>
      <c r="AA472" s="104"/>
      <c r="AB472" s="106">
        <v>139228</v>
      </c>
      <c r="AC472" s="104"/>
      <c r="AD472" s="106">
        <v>139228</v>
      </c>
      <c r="AE472" s="104"/>
      <c r="AF472" s="106">
        <v>139228</v>
      </c>
      <c r="AG472" s="195"/>
      <c r="AH472" s="106">
        <v>139228</v>
      </c>
      <c r="AI472" s="104"/>
      <c r="AJ472" s="106">
        <v>139228</v>
      </c>
      <c r="AK472" s="104"/>
      <c r="AL472" s="106">
        <v>139228</v>
      </c>
      <c r="AM472" s="104"/>
      <c r="AN472" s="106">
        <f>AL472+AM472</f>
        <v>139228</v>
      </c>
      <c r="AO472" s="106">
        <v>202375</v>
      </c>
      <c r="AP472" s="113">
        <v>139208</v>
      </c>
      <c r="AQ472" s="257"/>
      <c r="AR472" s="168"/>
      <c r="AS472" s="272"/>
      <c r="AT472" s="103"/>
      <c r="AU472" s="103"/>
      <c r="AV472" s="103"/>
      <c r="AW472" s="138"/>
      <c r="AX472" s="138"/>
      <c r="AY472" s="138">
        <f>142013*100/102</f>
        <v>139228.431372549</v>
      </c>
    </row>
    <row r="473" spans="1:48" ht="12.75" hidden="1">
      <c r="A473" s="218">
        <v>750</v>
      </c>
      <c r="B473" s="187"/>
      <c r="C473" s="188" t="s">
        <v>32</v>
      </c>
      <c r="D473" s="189">
        <f aca="true" t="shared" si="502" ref="D473:J473">SUM(D474)</f>
        <v>84000</v>
      </c>
      <c r="E473" s="189">
        <f t="shared" si="502"/>
        <v>0</v>
      </c>
      <c r="F473" s="189">
        <f t="shared" si="502"/>
        <v>84000</v>
      </c>
      <c r="G473" s="189">
        <f t="shared" si="502"/>
        <v>0</v>
      </c>
      <c r="H473" s="189">
        <f t="shared" si="502"/>
        <v>84000</v>
      </c>
      <c r="I473" s="189">
        <f t="shared" si="502"/>
        <v>0</v>
      </c>
      <c r="J473" s="189">
        <f t="shared" si="502"/>
        <v>84000</v>
      </c>
      <c r="K473" s="110"/>
      <c r="L473" s="189">
        <f>SUM(L474)</f>
        <v>84000</v>
      </c>
      <c r="M473" s="109"/>
      <c r="N473" s="189">
        <f>SUM(N474)</f>
        <v>84000</v>
      </c>
      <c r="O473" s="189"/>
      <c r="P473" s="189">
        <f>SUM(P474)</f>
        <v>84000</v>
      </c>
      <c r="Q473" s="109"/>
      <c r="R473" s="189">
        <f>SUM(R474)</f>
        <v>84000</v>
      </c>
      <c r="S473" s="109"/>
      <c r="T473" s="189">
        <f>SUM(T474)</f>
        <v>84000</v>
      </c>
      <c r="U473" s="172"/>
      <c r="V473" s="189">
        <f>SUM(V474)</f>
        <v>84000</v>
      </c>
      <c r="W473" s="172"/>
      <c r="X473" s="189">
        <f>SUM(X474)</f>
        <v>84000</v>
      </c>
      <c r="Y473" s="172"/>
      <c r="Z473" s="189">
        <f>SUM(Z474)</f>
        <v>84000</v>
      </c>
      <c r="AA473" s="172"/>
      <c r="AB473" s="189">
        <f>SUM(AB474)</f>
        <v>84000</v>
      </c>
      <c r="AC473" s="172"/>
      <c r="AD473" s="189">
        <f>SUM(AD474)</f>
        <v>84000</v>
      </c>
      <c r="AE473" s="172"/>
      <c r="AF473" s="189">
        <f>SUM(AF474)</f>
        <v>84000</v>
      </c>
      <c r="AG473" s="198"/>
      <c r="AH473" s="189">
        <f aca="true" t="shared" si="503" ref="AH473:AS473">SUM(AH474)</f>
        <v>84000</v>
      </c>
      <c r="AI473" s="189">
        <f t="shared" si="503"/>
        <v>0</v>
      </c>
      <c r="AJ473" s="189">
        <f t="shared" si="503"/>
        <v>84000</v>
      </c>
      <c r="AK473" s="189">
        <f t="shared" si="503"/>
        <v>0</v>
      </c>
      <c r="AL473" s="189">
        <f t="shared" si="503"/>
        <v>84000</v>
      </c>
      <c r="AM473" s="189">
        <f t="shared" si="503"/>
        <v>0</v>
      </c>
      <c r="AN473" s="189">
        <f t="shared" si="503"/>
        <v>84000</v>
      </c>
      <c r="AO473" s="189">
        <f t="shared" si="503"/>
        <v>82400</v>
      </c>
      <c r="AP473" s="221">
        <f t="shared" si="503"/>
        <v>70467</v>
      </c>
      <c r="AQ473" s="249">
        <f t="shared" si="503"/>
        <v>84000</v>
      </c>
      <c r="AR473" s="83">
        <f t="shared" si="503"/>
        <v>0</v>
      </c>
      <c r="AS473" s="270">
        <f t="shared" si="503"/>
        <v>84000</v>
      </c>
      <c r="AT473" s="103"/>
      <c r="AU473" s="103"/>
      <c r="AV473" s="103"/>
    </row>
    <row r="474" spans="1:48" ht="12.75" hidden="1">
      <c r="A474" s="31">
        <v>75011</v>
      </c>
      <c r="B474" s="26"/>
      <c r="C474" s="19" t="s">
        <v>113</v>
      </c>
      <c r="D474" s="190">
        <f aca="true" t="shared" si="504" ref="D474:J474">SUM(D475:D479)</f>
        <v>84000</v>
      </c>
      <c r="E474" s="190">
        <f t="shared" si="504"/>
        <v>0</v>
      </c>
      <c r="F474" s="190">
        <f t="shared" si="504"/>
        <v>84000</v>
      </c>
      <c r="G474" s="190">
        <f t="shared" si="504"/>
        <v>0</v>
      </c>
      <c r="H474" s="190">
        <f t="shared" si="504"/>
        <v>84000</v>
      </c>
      <c r="I474" s="190">
        <f t="shared" si="504"/>
        <v>0</v>
      </c>
      <c r="J474" s="190">
        <f t="shared" si="504"/>
        <v>84000</v>
      </c>
      <c r="K474" s="110"/>
      <c r="L474" s="190">
        <f>SUM(L475:L479)</f>
        <v>84000</v>
      </c>
      <c r="M474" s="109"/>
      <c r="N474" s="190">
        <f>SUM(N475:N479)</f>
        <v>84000</v>
      </c>
      <c r="O474" s="190"/>
      <c r="P474" s="190">
        <f>SUM(P475:P479)</f>
        <v>84000</v>
      </c>
      <c r="Q474" s="109"/>
      <c r="R474" s="190">
        <f>SUM(R475:R479)</f>
        <v>84000</v>
      </c>
      <c r="S474" s="109"/>
      <c r="T474" s="190">
        <f>SUM(T475:T479)</f>
        <v>84000</v>
      </c>
      <c r="U474" s="172"/>
      <c r="V474" s="190">
        <f>SUM(V475:V479)</f>
        <v>84000</v>
      </c>
      <c r="W474" s="172"/>
      <c r="X474" s="190">
        <f>SUM(X475:X479)</f>
        <v>84000</v>
      </c>
      <c r="Y474" s="172"/>
      <c r="Z474" s="190">
        <f>SUM(Z475:Z479)</f>
        <v>84000</v>
      </c>
      <c r="AA474" s="172"/>
      <c r="AB474" s="190">
        <f>SUM(AB475:AB479)</f>
        <v>84000</v>
      </c>
      <c r="AC474" s="172"/>
      <c r="AD474" s="190">
        <f>SUM(AD475:AD479)</f>
        <v>84000</v>
      </c>
      <c r="AE474" s="172"/>
      <c r="AF474" s="190">
        <f>SUM(AF475:AF479)</f>
        <v>84000</v>
      </c>
      <c r="AG474" s="198"/>
      <c r="AH474" s="190">
        <f>SUM(AH475:AH479)</f>
        <v>84000</v>
      </c>
      <c r="AI474" s="172"/>
      <c r="AJ474" s="190">
        <f aca="true" t="shared" si="505" ref="AJ474:AQ474">SUM(AJ475:AJ479)</f>
        <v>84000</v>
      </c>
      <c r="AK474" s="190">
        <f t="shared" si="505"/>
        <v>0</v>
      </c>
      <c r="AL474" s="190">
        <f t="shared" si="505"/>
        <v>84000</v>
      </c>
      <c r="AM474" s="190">
        <f t="shared" si="505"/>
        <v>0</v>
      </c>
      <c r="AN474" s="190">
        <f t="shared" si="505"/>
        <v>84000</v>
      </c>
      <c r="AO474" s="190">
        <f t="shared" si="505"/>
        <v>82400</v>
      </c>
      <c r="AP474" s="81">
        <f t="shared" si="505"/>
        <v>70467</v>
      </c>
      <c r="AQ474" s="247">
        <f t="shared" si="505"/>
        <v>84000</v>
      </c>
      <c r="AR474" s="82">
        <f>SUM(AR475:AR479)</f>
        <v>0</v>
      </c>
      <c r="AS474" s="269">
        <f>SUM(AS475:AS479)</f>
        <v>84000</v>
      </c>
      <c r="AT474" s="103"/>
      <c r="AU474" s="103"/>
      <c r="AV474" s="103"/>
    </row>
    <row r="475" spans="1:48" ht="12.75" hidden="1">
      <c r="A475" s="21"/>
      <c r="B475" s="27">
        <v>4010</v>
      </c>
      <c r="C475" s="18" t="s">
        <v>37</v>
      </c>
      <c r="D475" s="104">
        <v>60824</v>
      </c>
      <c r="E475" s="106"/>
      <c r="F475" s="106">
        <f>E475+D475</f>
        <v>60824</v>
      </c>
      <c r="G475" s="109"/>
      <c r="H475" s="106">
        <f>G475+F475</f>
        <v>60824</v>
      </c>
      <c r="I475" s="109"/>
      <c r="J475" s="106">
        <f>I475+H475</f>
        <v>60824</v>
      </c>
      <c r="K475" s="110"/>
      <c r="L475" s="106">
        <f>K475+H475</f>
        <v>60824</v>
      </c>
      <c r="M475" s="109"/>
      <c r="N475" s="106">
        <f>M475+L475</f>
        <v>60824</v>
      </c>
      <c r="O475" s="106"/>
      <c r="P475" s="106">
        <f>O475+N475</f>
        <v>60824</v>
      </c>
      <c r="Q475" s="109"/>
      <c r="R475" s="106">
        <f>Q475+N475</f>
        <v>60824</v>
      </c>
      <c r="S475" s="109"/>
      <c r="T475" s="106">
        <f>S475+P475</f>
        <v>60824</v>
      </c>
      <c r="U475" s="109"/>
      <c r="V475" s="106">
        <f>U475+R475</f>
        <v>60824</v>
      </c>
      <c r="W475" s="109"/>
      <c r="X475" s="106">
        <f>W475+T475</f>
        <v>60824</v>
      </c>
      <c r="Y475" s="109"/>
      <c r="Z475" s="106">
        <f>Y475+V475</f>
        <v>60824</v>
      </c>
      <c r="AA475" s="109"/>
      <c r="AB475" s="106">
        <f>AA475+X475</f>
        <v>60824</v>
      </c>
      <c r="AC475" s="109"/>
      <c r="AD475" s="106">
        <f>AC475+Z475</f>
        <v>60824</v>
      </c>
      <c r="AE475" s="109"/>
      <c r="AF475" s="106">
        <f>AE475+AB475</f>
        <v>60824</v>
      </c>
      <c r="AG475" s="147"/>
      <c r="AH475" s="106">
        <f>AG475+AD475</f>
        <v>60824</v>
      </c>
      <c r="AI475" s="109"/>
      <c r="AJ475" s="106">
        <f>AI475+AF475</f>
        <v>60824</v>
      </c>
      <c r="AK475" s="109">
        <v>30</v>
      </c>
      <c r="AL475" s="106">
        <f>AK475+AH475</f>
        <v>60854</v>
      </c>
      <c r="AM475" s="109"/>
      <c r="AN475" s="106">
        <f>AL475+AM475</f>
        <v>60854</v>
      </c>
      <c r="AO475" s="106">
        <v>59479</v>
      </c>
      <c r="AP475" s="113">
        <v>50566</v>
      </c>
      <c r="AQ475" s="243">
        <v>60764</v>
      </c>
      <c r="AR475" s="275"/>
      <c r="AS475" s="244">
        <f aca="true" t="shared" si="506" ref="AS475:AS510">AR475+AQ475</f>
        <v>60764</v>
      </c>
      <c r="AT475" s="103"/>
      <c r="AU475" s="103"/>
      <c r="AV475" s="103"/>
    </row>
    <row r="476" spans="1:48" ht="12.75" hidden="1">
      <c r="A476" s="21"/>
      <c r="B476" s="27">
        <v>4040</v>
      </c>
      <c r="C476" s="18" t="s">
        <v>38</v>
      </c>
      <c r="D476" s="104">
        <v>8100</v>
      </c>
      <c r="E476" s="106"/>
      <c r="F476" s="106">
        <f>E476+D476</f>
        <v>8100</v>
      </c>
      <c r="G476" s="109"/>
      <c r="H476" s="106">
        <f>G476+F476</f>
        <v>8100</v>
      </c>
      <c r="I476" s="109"/>
      <c r="J476" s="106">
        <f>I476+H476</f>
        <v>8100</v>
      </c>
      <c r="K476" s="110"/>
      <c r="L476" s="106">
        <f>K476+H476</f>
        <v>8100</v>
      </c>
      <c r="M476" s="109"/>
      <c r="N476" s="106">
        <f>M476+L476</f>
        <v>8100</v>
      </c>
      <c r="O476" s="106"/>
      <c r="P476" s="106">
        <f>O476+N476</f>
        <v>8100</v>
      </c>
      <c r="Q476" s="109"/>
      <c r="R476" s="106">
        <f>Q476+N476</f>
        <v>8100</v>
      </c>
      <c r="S476" s="109"/>
      <c r="T476" s="106">
        <f>S476+P476</f>
        <v>8100</v>
      </c>
      <c r="U476" s="109"/>
      <c r="V476" s="106">
        <f>U476+R476</f>
        <v>8100</v>
      </c>
      <c r="W476" s="109"/>
      <c r="X476" s="106">
        <f>W476+T476</f>
        <v>8100</v>
      </c>
      <c r="Y476" s="109"/>
      <c r="Z476" s="106">
        <f>Y476+V476</f>
        <v>8100</v>
      </c>
      <c r="AA476" s="109"/>
      <c r="AB476" s="106">
        <f>AA476+X476</f>
        <v>8100</v>
      </c>
      <c r="AC476" s="109"/>
      <c r="AD476" s="106">
        <f>AC476+Z476</f>
        <v>8100</v>
      </c>
      <c r="AE476" s="109"/>
      <c r="AF476" s="106">
        <f>AE476+AB476</f>
        <v>8100</v>
      </c>
      <c r="AG476" s="147"/>
      <c r="AH476" s="106">
        <f>AG476+AD476</f>
        <v>8100</v>
      </c>
      <c r="AI476" s="109"/>
      <c r="AJ476" s="106">
        <f>AI476+AF476</f>
        <v>8100</v>
      </c>
      <c r="AK476" s="109">
        <v>-30</v>
      </c>
      <c r="AL476" s="106">
        <f>AK476+AH476</f>
        <v>8070</v>
      </c>
      <c r="AM476" s="109"/>
      <c r="AN476" s="106">
        <f>AL476+AM476</f>
        <v>8070</v>
      </c>
      <c r="AO476" s="106">
        <v>7160</v>
      </c>
      <c r="AP476" s="113">
        <v>8070</v>
      </c>
      <c r="AQ476" s="243">
        <v>8070</v>
      </c>
      <c r="AR476" s="275"/>
      <c r="AS476" s="244">
        <f t="shared" si="506"/>
        <v>8070</v>
      </c>
      <c r="AT476" s="103"/>
      <c r="AU476" s="103"/>
      <c r="AV476" s="103"/>
    </row>
    <row r="477" spans="1:48" ht="12.75" hidden="1">
      <c r="A477" s="21"/>
      <c r="B477" s="27">
        <v>4110</v>
      </c>
      <c r="C477" s="18" t="s">
        <v>39</v>
      </c>
      <c r="D477" s="104">
        <v>10396</v>
      </c>
      <c r="E477" s="106"/>
      <c r="F477" s="106">
        <f>E477+D477</f>
        <v>10396</v>
      </c>
      <c r="G477" s="109"/>
      <c r="H477" s="106">
        <f>G477+F477</f>
        <v>10396</v>
      </c>
      <c r="I477" s="109"/>
      <c r="J477" s="106">
        <f>I477+H477</f>
        <v>10396</v>
      </c>
      <c r="K477" s="110"/>
      <c r="L477" s="106">
        <f>K477+H477</f>
        <v>10396</v>
      </c>
      <c r="M477" s="109"/>
      <c r="N477" s="106">
        <f>M477+L477</f>
        <v>10396</v>
      </c>
      <c r="O477" s="106"/>
      <c r="P477" s="106">
        <f>O477+N477</f>
        <v>10396</v>
      </c>
      <c r="Q477" s="109"/>
      <c r="R477" s="106">
        <f>Q477+N477</f>
        <v>10396</v>
      </c>
      <c r="S477" s="109"/>
      <c r="T477" s="106">
        <f>S477+P477</f>
        <v>10396</v>
      </c>
      <c r="U477" s="109"/>
      <c r="V477" s="106">
        <f>U477+R477</f>
        <v>10396</v>
      </c>
      <c r="W477" s="109"/>
      <c r="X477" s="106">
        <f>W477+T477</f>
        <v>10396</v>
      </c>
      <c r="Y477" s="109"/>
      <c r="Z477" s="106">
        <f>Y477+V477</f>
        <v>10396</v>
      </c>
      <c r="AA477" s="109"/>
      <c r="AB477" s="106">
        <f>AA477+X477</f>
        <v>10396</v>
      </c>
      <c r="AC477" s="109"/>
      <c r="AD477" s="106">
        <f>AC477+Z477</f>
        <v>10396</v>
      </c>
      <c r="AE477" s="109"/>
      <c r="AF477" s="106">
        <f>AE477+AB477</f>
        <v>10396</v>
      </c>
      <c r="AG477" s="147"/>
      <c r="AH477" s="106">
        <f>AG477+AD477</f>
        <v>10396</v>
      </c>
      <c r="AI477" s="109"/>
      <c r="AJ477" s="106">
        <f>AI477+AF477</f>
        <v>10396</v>
      </c>
      <c r="AK477" s="109"/>
      <c r="AL477" s="106">
        <f>AK477+AH477</f>
        <v>10396</v>
      </c>
      <c r="AM477" s="109"/>
      <c r="AN477" s="106">
        <f>AL477+AM477</f>
        <v>10396</v>
      </c>
      <c r="AO477" s="106">
        <v>11407</v>
      </c>
      <c r="AP477" s="113">
        <v>7523</v>
      </c>
      <c r="AQ477" s="243">
        <v>10396</v>
      </c>
      <c r="AR477" s="275"/>
      <c r="AS477" s="244">
        <f t="shared" si="506"/>
        <v>10396</v>
      </c>
      <c r="AT477" s="103"/>
      <c r="AU477" s="103"/>
      <c r="AV477" s="103"/>
    </row>
    <row r="478" spans="1:48" ht="12.75" hidden="1">
      <c r="A478" s="21"/>
      <c r="B478" s="27">
        <v>4120</v>
      </c>
      <c r="C478" s="18" t="s">
        <v>40</v>
      </c>
      <c r="D478" s="104">
        <v>1770</v>
      </c>
      <c r="E478" s="106"/>
      <c r="F478" s="106">
        <f>E478+D478</f>
        <v>1770</v>
      </c>
      <c r="G478" s="109"/>
      <c r="H478" s="106">
        <f>G478+F478</f>
        <v>1770</v>
      </c>
      <c r="I478" s="109"/>
      <c r="J478" s="106">
        <f>I478+H478</f>
        <v>1770</v>
      </c>
      <c r="K478" s="110"/>
      <c r="L478" s="106">
        <f>K478+H478</f>
        <v>1770</v>
      </c>
      <c r="M478" s="109"/>
      <c r="N478" s="106">
        <f>M478+L478</f>
        <v>1770</v>
      </c>
      <c r="O478" s="106"/>
      <c r="P478" s="106">
        <f>O478+N478</f>
        <v>1770</v>
      </c>
      <c r="Q478" s="109"/>
      <c r="R478" s="106">
        <f>Q478+N478</f>
        <v>1770</v>
      </c>
      <c r="S478" s="109"/>
      <c r="T478" s="106">
        <f>S478+P478</f>
        <v>1770</v>
      </c>
      <c r="U478" s="109"/>
      <c r="V478" s="106">
        <f>U478+R478</f>
        <v>1770</v>
      </c>
      <c r="W478" s="109"/>
      <c r="X478" s="106">
        <f>W478+T478</f>
        <v>1770</v>
      </c>
      <c r="Y478" s="109"/>
      <c r="Z478" s="106">
        <f>Y478+V478</f>
        <v>1770</v>
      </c>
      <c r="AA478" s="109"/>
      <c r="AB478" s="106">
        <f>AA478+X478</f>
        <v>1770</v>
      </c>
      <c r="AC478" s="109"/>
      <c r="AD478" s="106">
        <f>AC478+Z478</f>
        <v>1770</v>
      </c>
      <c r="AE478" s="109"/>
      <c r="AF478" s="106">
        <f>AE478+AB478</f>
        <v>1770</v>
      </c>
      <c r="AG478" s="147"/>
      <c r="AH478" s="106">
        <f>AG478+AD478</f>
        <v>1770</v>
      </c>
      <c r="AI478" s="109"/>
      <c r="AJ478" s="106">
        <f>AI478+AF478</f>
        <v>1770</v>
      </c>
      <c r="AK478" s="109"/>
      <c r="AL478" s="106">
        <f>AK478+AH478</f>
        <v>1770</v>
      </c>
      <c r="AM478" s="109"/>
      <c r="AN478" s="106">
        <f>AL478+AM478</f>
        <v>1770</v>
      </c>
      <c r="AO478" s="106">
        <v>1634</v>
      </c>
      <c r="AP478" s="113">
        <v>1398</v>
      </c>
      <c r="AQ478" s="243">
        <v>1770</v>
      </c>
      <c r="AR478" s="275"/>
      <c r="AS478" s="244">
        <f t="shared" si="506"/>
        <v>1770</v>
      </c>
      <c r="AT478" s="103"/>
      <c r="AU478" s="103"/>
      <c r="AV478" s="103"/>
    </row>
    <row r="479" spans="1:48" ht="12.75" hidden="1">
      <c r="A479" s="21"/>
      <c r="B479" s="27">
        <v>4440</v>
      </c>
      <c r="C479" s="18" t="s">
        <v>50</v>
      </c>
      <c r="D479" s="104">
        <v>2910</v>
      </c>
      <c r="E479" s="106"/>
      <c r="F479" s="106">
        <f>E479+D479</f>
        <v>2910</v>
      </c>
      <c r="G479" s="109"/>
      <c r="H479" s="106">
        <f>G479+F479</f>
        <v>2910</v>
      </c>
      <c r="I479" s="109"/>
      <c r="J479" s="106">
        <f>I479+H479</f>
        <v>2910</v>
      </c>
      <c r="K479" s="110"/>
      <c r="L479" s="106">
        <f>K479+H479</f>
        <v>2910</v>
      </c>
      <c r="M479" s="109"/>
      <c r="N479" s="106">
        <f>M479+L479</f>
        <v>2910</v>
      </c>
      <c r="O479" s="106"/>
      <c r="P479" s="106">
        <f>O479+N479</f>
        <v>2910</v>
      </c>
      <c r="Q479" s="109"/>
      <c r="R479" s="106">
        <f>Q479+N479</f>
        <v>2910</v>
      </c>
      <c r="S479" s="109"/>
      <c r="T479" s="106">
        <f>S479+P479</f>
        <v>2910</v>
      </c>
      <c r="U479" s="109"/>
      <c r="V479" s="106">
        <f>U479+R479</f>
        <v>2910</v>
      </c>
      <c r="W479" s="109"/>
      <c r="X479" s="106">
        <f>W479+T479</f>
        <v>2910</v>
      </c>
      <c r="Y479" s="109"/>
      <c r="Z479" s="106">
        <f>Y479+V479</f>
        <v>2910</v>
      </c>
      <c r="AA479" s="109"/>
      <c r="AB479" s="106">
        <f>AA479+X479</f>
        <v>2910</v>
      </c>
      <c r="AC479" s="109"/>
      <c r="AD479" s="106">
        <f>AC479+Z479</f>
        <v>2910</v>
      </c>
      <c r="AE479" s="109"/>
      <c r="AF479" s="106">
        <f>AE479+AB479</f>
        <v>2910</v>
      </c>
      <c r="AG479" s="147"/>
      <c r="AH479" s="106">
        <f>AG479+AD479</f>
        <v>2910</v>
      </c>
      <c r="AI479" s="109"/>
      <c r="AJ479" s="106">
        <f>AI479+AF479</f>
        <v>2910</v>
      </c>
      <c r="AK479" s="109"/>
      <c r="AL479" s="106">
        <f>AK479+AH479</f>
        <v>2910</v>
      </c>
      <c r="AM479" s="109"/>
      <c r="AN479" s="106">
        <f>AL479+AM479</f>
        <v>2910</v>
      </c>
      <c r="AO479" s="106">
        <v>2720</v>
      </c>
      <c r="AP479" s="113">
        <v>2910</v>
      </c>
      <c r="AQ479" s="243">
        <v>3000</v>
      </c>
      <c r="AR479" s="275"/>
      <c r="AS479" s="244">
        <f t="shared" si="506"/>
        <v>3000</v>
      </c>
      <c r="AT479" s="103"/>
      <c r="AU479" s="103"/>
      <c r="AV479" s="103"/>
    </row>
    <row r="480" spans="1:48" ht="25.5" hidden="1">
      <c r="A480" s="218">
        <v>751</v>
      </c>
      <c r="B480" s="187"/>
      <c r="C480" s="188" t="s">
        <v>114</v>
      </c>
      <c r="D480" s="189">
        <f aca="true" t="shared" si="507" ref="D480:J480">SUM(D481)</f>
        <v>1800</v>
      </c>
      <c r="E480" s="189">
        <f t="shared" si="507"/>
        <v>0</v>
      </c>
      <c r="F480" s="189">
        <f t="shared" si="507"/>
        <v>1800</v>
      </c>
      <c r="G480" s="189">
        <f t="shared" si="507"/>
        <v>0</v>
      </c>
      <c r="H480" s="189">
        <f t="shared" si="507"/>
        <v>1800</v>
      </c>
      <c r="I480" s="189">
        <f t="shared" si="507"/>
        <v>0</v>
      </c>
      <c r="J480" s="189">
        <f t="shared" si="507"/>
        <v>1800</v>
      </c>
      <c r="K480" s="110"/>
      <c r="L480" s="189">
        <f>SUM(L481)</f>
        <v>1800</v>
      </c>
      <c r="M480" s="109"/>
      <c r="N480" s="189">
        <f>SUM(N481)</f>
        <v>1800</v>
      </c>
      <c r="O480" s="189"/>
      <c r="P480" s="189">
        <f>SUM(P481)</f>
        <v>1800</v>
      </c>
      <c r="Q480" s="211"/>
      <c r="R480" s="189">
        <f aca="true" t="shared" si="508" ref="R480:X480">SUM(R481+R485)</f>
        <v>1800</v>
      </c>
      <c r="S480" s="189">
        <f t="shared" si="508"/>
        <v>7827</v>
      </c>
      <c r="T480" s="189">
        <f t="shared" si="508"/>
        <v>9627</v>
      </c>
      <c r="U480" s="189">
        <f t="shared" si="508"/>
        <v>0</v>
      </c>
      <c r="V480" s="189">
        <f t="shared" si="508"/>
        <v>9627</v>
      </c>
      <c r="W480" s="189">
        <f t="shared" si="508"/>
        <v>0</v>
      </c>
      <c r="X480" s="189">
        <f t="shared" si="508"/>
        <v>9627</v>
      </c>
      <c r="Y480" s="189">
        <f aca="true" t="shared" si="509" ref="Y480:AD480">SUM(Y481+Y485)</f>
        <v>9765</v>
      </c>
      <c r="Z480" s="189">
        <f t="shared" si="509"/>
        <v>19392</v>
      </c>
      <c r="AA480" s="189">
        <f t="shared" si="509"/>
        <v>0</v>
      </c>
      <c r="AB480" s="189">
        <f t="shared" si="509"/>
        <v>19392</v>
      </c>
      <c r="AC480" s="189">
        <f t="shared" si="509"/>
        <v>0</v>
      </c>
      <c r="AD480" s="189">
        <f t="shared" si="509"/>
        <v>19392</v>
      </c>
      <c r="AE480" s="189">
        <f aca="true" t="shared" si="510" ref="AE480:AJ480">SUM(AE481+AE485)</f>
        <v>0</v>
      </c>
      <c r="AF480" s="189">
        <f t="shared" si="510"/>
        <v>19392</v>
      </c>
      <c r="AG480" s="197">
        <f t="shared" si="510"/>
        <v>0</v>
      </c>
      <c r="AH480" s="189">
        <f t="shared" si="510"/>
        <v>19392</v>
      </c>
      <c r="AI480" s="189">
        <f t="shared" si="510"/>
        <v>0</v>
      </c>
      <c r="AJ480" s="189">
        <f t="shared" si="510"/>
        <v>19392</v>
      </c>
      <c r="AK480" s="189">
        <f aca="true" t="shared" si="511" ref="AK480:AQ480">SUM(AK481+AK485)</f>
        <v>0</v>
      </c>
      <c r="AL480" s="189">
        <f t="shared" si="511"/>
        <v>19392</v>
      </c>
      <c r="AM480" s="189">
        <f t="shared" si="511"/>
        <v>-320</v>
      </c>
      <c r="AN480" s="189">
        <f t="shared" si="511"/>
        <v>19072</v>
      </c>
      <c r="AO480" s="189">
        <f t="shared" si="511"/>
        <v>1600</v>
      </c>
      <c r="AP480" s="221">
        <f t="shared" si="511"/>
        <v>19007</v>
      </c>
      <c r="AQ480" s="249">
        <f t="shared" si="511"/>
        <v>1840</v>
      </c>
      <c r="AR480" s="276"/>
      <c r="AS480" s="244">
        <f t="shared" si="506"/>
        <v>1840</v>
      </c>
      <c r="AT480" s="103"/>
      <c r="AU480" s="103"/>
      <c r="AV480" s="103"/>
    </row>
    <row r="481" spans="1:48" ht="25.5" hidden="1">
      <c r="A481" s="31">
        <v>75101</v>
      </c>
      <c r="B481" s="26"/>
      <c r="C481" s="19" t="s">
        <v>115</v>
      </c>
      <c r="D481" s="190">
        <f aca="true" t="shared" si="512" ref="D481:J481">SUM(D482:D484)</f>
        <v>1800</v>
      </c>
      <c r="E481" s="190">
        <f t="shared" si="512"/>
        <v>0</v>
      </c>
      <c r="F481" s="190">
        <f t="shared" si="512"/>
        <v>1800</v>
      </c>
      <c r="G481" s="190">
        <f t="shared" si="512"/>
        <v>0</v>
      </c>
      <c r="H481" s="190">
        <f t="shared" si="512"/>
        <v>1800</v>
      </c>
      <c r="I481" s="190">
        <f t="shared" si="512"/>
        <v>0</v>
      </c>
      <c r="J481" s="190">
        <f t="shared" si="512"/>
        <v>1800</v>
      </c>
      <c r="K481" s="110"/>
      <c r="L481" s="190">
        <f>SUM(L482:L484)</f>
        <v>1800</v>
      </c>
      <c r="M481" s="109"/>
      <c r="N481" s="190">
        <f>SUM(N482:N484)</f>
        <v>1800</v>
      </c>
      <c r="O481" s="190"/>
      <c r="P481" s="190">
        <f>SUM(P482:P484)</f>
        <v>1800</v>
      </c>
      <c r="Q481" s="109"/>
      <c r="R481" s="190">
        <f>SUM(R482:R484)</f>
        <v>1800</v>
      </c>
      <c r="S481" s="109"/>
      <c r="T481" s="190">
        <f>SUM(T482:T484)</f>
        <v>1800</v>
      </c>
      <c r="U481" s="109"/>
      <c r="V481" s="190">
        <f>SUM(V482:V484)</f>
        <v>1800</v>
      </c>
      <c r="W481" s="109"/>
      <c r="X481" s="190">
        <f>SUM(X482:X484)</f>
        <v>1800</v>
      </c>
      <c r="Y481" s="109"/>
      <c r="Z481" s="190">
        <f>SUM(Z482:Z484)</f>
        <v>1800</v>
      </c>
      <c r="AA481" s="109"/>
      <c r="AB481" s="190">
        <f>SUM(AB482:AB484)</f>
        <v>1800</v>
      </c>
      <c r="AC481" s="109"/>
      <c r="AD481" s="190">
        <f>SUM(AD482:AD484)</f>
        <v>1800</v>
      </c>
      <c r="AE481" s="109"/>
      <c r="AF481" s="190">
        <f>SUM(AF482:AF484)</f>
        <v>1800</v>
      </c>
      <c r="AG481" s="147"/>
      <c r="AH481" s="190">
        <f>SUM(AH482:AH484)</f>
        <v>1800</v>
      </c>
      <c r="AI481" s="109"/>
      <c r="AJ481" s="190">
        <f>SUM(AJ482:AJ484)</f>
        <v>1800</v>
      </c>
      <c r="AK481" s="109"/>
      <c r="AL481" s="190">
        <f>SUM(AL482:AL484)</f>
        <v>1800</v>
      </c>
      <c r="AM481" s="109"/>
      <c r="AN481" s="190">
        <f>SUM(AN482:AN484)</f>
        <v>1800</v>
      </c>
      <c r="AO481" s="190">
        <f>SUM(AO482:AO484)</f>
        <v>1600</v>
      </c>
      <c r="AP481" s="81">
        <f>SUM(AP482:AP484)</f>
        <v>1739</v>
      </c>
      <c r="AQ481" s="247">
        <f>SUM(AQ482:AQ484)</f>
        <v>1840</v>
      </c>
      <c r="AR481" s="274"/>
      <c r="AS481" s="244">
        <f t="shared" si="506"/>
        <v>1840</v>
      </c>
      <c r="AT481" s="103"/>
      <c r="AU481" s="103">
        <f>184000/1800</f>
        <v>102.22222222222223</v>
      </c>
      <c r="AV481" s="103"/>
    </row>
    <row r="482" spans="1:48" ht="12.75" hidden="1">
      <c r="A482" s="31"/>
      <c r="B482" s="27">
        <v>4010</v>
      </c>
      <c r="C482" s="27" t="s">
        <v>37</v>
      </c>
      <c r="D482" s="104">
        <v>1506</v>
      </c>
      <c r="E482" s="106"/>
      <c r="F482" s="106">
        <f>E482+D482</f>
        <v>1506</v>
      </c>
      <c r="G482" s="109"/>
      <c r="H482" s="106">
        <f>G482+F482</f>
        <v>1506</v>
      </c>
      <c r="I482" s="109"/>
      <c r="J482" s="106">
        <f>I482+H482</f>
        <v>1506</v>
      </c>
      <c r="K482" s="110"/>
      <c r="L482" s="106">
        <f>K482+H482</f>
        <v>1506</v>
      </c>
      <c r="M482" s="109"/>
      <c r="N482" s="106">
        <f>M482+L482</f>
        <v>1506</v>
      </c>
      <c r="O482" s="106"/>
      <c r="P482" s="106">
        <f>O482+N482</f>
        <v>1506</v>
      </c>
      <c r="Q482" s="109"/>
      <c r="R482" s="106">
        <f>Q482+N482</f>
        <v>1506</v>
      </c>
      <c r="S482" s="109"/>
      <c r="T482" s="106">
        <f>S482+P482</f>
        <v>1506</v>
      </c>
      <c r="U482" s="109"/>
      <c r="V482" s="106">
        <f>U482+R482</f>
        <v>1506</v>
      </c>
      <c r="W482" s="109"/>
      <c r="X482" s="106">
        <f>W482+T482</f>
        <v>1506</v>
      </c>
      <c r="Y482" s="109"/>
      <c r="Z482" s="106">
        <f>Y482+V482</f>
        <v>1506</v>
      </c>
      <c r="AA482" s="109"/>
      <c r="AB482" s="106">
        <f>AA482+X482</f>
        <v>1506</v>
      </c>
      <c r="AC482" s="109"/>
      <c r="AD482" s="106">
        <f>AC482+Z482</f>
        <v>1506</v>
      </c>
      <c r="AE482" s="109"/>
      <c r="AF482" s="106">
        <f>AE482+AB482</f>
        <v>1506</v>
      </c>
      <c r="AG482" s="147"/>
      <c r="AH482" s="106">
        <f>AG482+AD482</f>
        <v>1506</v>
      </c>
      <c r="AI482" s="109"/>
      <c r="AJ482" s="106">
        <f>AI482+AF482</f>
        <v>1506</v>
      </c>
      <c r="AK482" s="109"/>
      <c r="AL482" s="106">
        <f>AK482+AH482</f>
        <v>1506</v>
      </c>
      <c r="AM482" s="109"/>
      <c r="AN482" s="106">
        <f>AL482+AM482</f>
        <v>1506</v>
      </c>
      <c r="AO482" s="106">
        <v>1361</v>
      </c>
      <c r="AP482" s="113">
        <v>1480</v>
      </c>
      <c r="AQ482" s="243">
        <v>1539</v>
      </c>
      <c r="AR482" s="275"/>
      <c r="AS482" s="244">
        <f t="shared" si="506"/>
        <v>1539</v>
      </c>
      <c r="AT482" s="103"/>
      <c r="AU482" s="103"/>
      <c r="AV482" s="103"/>
    </row>
    <row r="483" spans="1:48" ht="12.75" hidden="1">
      <c r="A483" s="21"/>
      <c r="B483" s="27">
        <v>4110</v>
      </c>
      <c r="C483" s="18" t="s">
        <v>39</v>
      </c>
      <c r="D483" s="104">
        <v>257</v>
      </c>
      <c r="E483" s="106"/>
      <c r="F483" s="106">
        <f>E483+D483</f>
        <v>257</v>
      </c>
      <c r="G483" s="109"/>
      <c r="H483" s="106">
        <f>G483+F483</f>
        <v>257</v>
      </c>
      <c r="I483" s="109"/>
      <c r="J483" s="106">
        <f>I483+H483</f>
        <v>257</v>
      </c>
      <c r="K483" s="110"/>
      <c r="L483" s="106">
        <f>K483+H483</f>
        <v>257</v>
      </c>
      <c r="M483" s="109"/>
      <c r="N483" s="106">
        <f>M483+L483</f>
        <v>257</v>
      </c>
      <c r="O483" s="106"/>
      <c r="P483" s="106">
        <f>O483+N483</f>
        <v>257</v>
      </c>
      <c r="Q483" s="109"/>
      <c r="R483" s="106">
        <f>Q483+N483</f>
        <v>257</v>
      </c>
      <c r="S483" s="109"/>
      <c r="T483" s="106">
        <f>S483+P483</f>
        <v>257</v>
      </c>
      <c r="U483" s="109"/>
      <c r="V483" s="106">
        <f>U483+R483</f>
        <v>257</v>
      </c>
      <c r="W483" s="109"/>
      <c r="X483" s="106">
        <f>W483+T483</f>
        <v>257</v>
      </c>
      <c r="Y483" s="109"/>
      <c r="Z483" s="106">
        <f>Y483+V483</f>
        <v>257</v>
      </c>
      <c r="AA483" s="109"/>
      <c r="AB483" s="106">
        <f>AA483+X483</f>
        <v>257</v>
      </c>
      <c r="AC483" s="109"/>
      <c r="AD483" s="106">
        <f>AC483+Z483</f>
        <v>257</v>
      </c>
      <c r="AE483" s="109"/>
      <c r="AF483" s="106">
        <f>AE483+AB483</f>
        <v>257</v>
      </c>
      <c r="AG483" s="147"/>
      <c r="AH483" s="106">
        <f>AG483+AD483</f>
        <v>257</v>
      </c>
      <c r="AI483" s="109"/>
      <c r="AJ483" s="106">
        <f>AI483+AF483</f>
        <v>257</v>
      </c>
      <c r="AK483" s="109"/>
      <c r="AL483" s="106">
        <f>AK483+AH483</f>
        <v>257</v>
      </c>
      <c r="AM483" s="109"/>
      <c r="AN483" s="106">
        <f>AL483+AM483</f>
        <v>257</v>
      </c>
      <c r="AO483" s="106">
        <v>206</v>
      </c>
      <c r="AP483" s="113">
        <v>223</v>
      </c>
      <c r="AQ483" s="243">
        <v>263</v>
      </c>
      <c r="AR483" s="275"/>
      <c r="AS483" s="244">
        <f t="shared" si="506"/>
        <v>263</v>
      </c>
      <c r="AT483" s="103"/>
      <c r="AU483" s="103"/>
      <c r="AV483" s="103"/>
    </row>
    <row r="484" spans="1:48" ht="12.75" hidden="1">
      <c r="A484" s="21"/>
      <c r="B484" s="27">
        <v>4120</v>
      </c>
      <c r="C484" s="18" t="s">
        <v>40</v>
      </c>
      <c r="D484" s="104">
        <v>37</v>
      </c>
      <c r="E484" s="106"/>
      <c r="F484" s="106">
        <f>E484+D484</f>
        <v>37</v>
      </c>
      <c r="G484" s="109"/>
      <c r="H484" s="106">
        <f>G484+F484</f>
        <v>37</v>
      </c>
      <c r="I484" s="109"/>
      <c r="J484" s="106">
        <f>I484+H484</f>
        <v>37</v>
      </c>
      <c r="K484" s="110"/>
      <c r="L484" s="106">
        <f>K484+H484</f>
        <v>37</v>
      </c>
      <c r="M484" s="109"/>
      <c r="N484" s="106">
        <f>M484+L484</f>
        <v>37</v>
      </c>
      <c r="O484" s="106"/>
      <c r="P484" s="106">
        <f>O484+N484</f>
        <v>37</v>
      </c>
      <c r="Q484" s="109"/>
      <c r="R484" s="106">
        <f>Q484+N484</f>
        <v>37</v>
      </c>
      <c r="S484" s="109"/>
      <c r="T484" s="106">
        <f>S484+P484</f>
        <v>37</v>
      </c>
      <c r="U484" s="109"/>
      <c r="V484" s="106">
        <f>U484+R484</f>
        <v>37</v>
      </c>
      <c r="W484" s="109"/>
      <c r="X484" s="106">
        <f>W484+T484</f>
        <v>37</v>
      </c>
      <c r="Y484" s="109"/>
      <c r="Z484" s="106">
        <f>Y484+V484</f>
        <v>37</v>
      </c>
      <c r="AA484" s="109"/>
      <c r="AB484" s="106">
        <f>AA484+X484</f>
        <v>37</v>
      </c>
      <c r="AC484" s="109"/>
      <c r="AD484" s="106">
        <f>AC484+Z484</f>
        <v>37</v>
      </c>
      <c r="AE484" s="109"/>
      <c r="AF484" s="106">
        <f>AE484+AB484</f>
        <v>37</v>
      </c>
      <c r="AG484" s="147"/>
      <c r="AH484" s="106">
        <f>AG484+AD484</f>
        <v>37</v>
      </c>
      <c r="AI484" s="109"/>
      <c r="AJ484" s="106">
        <f>AI484+AF484</f>
        <v>37</v>
      </c>
      <c r="AK484" s="109"/>
      <c r="AL484" s="106">
        <f>AK484+AH484</f>
        <v>37</v>
      </c>
      <c r="AM484" s="109"/>
      <c r="AN484" s="106">
        <f>AL484+AM484</f>
        <v>37</v>
      </c>
      <c r="AO484" s="106">
        <v>33</v>
      </c>
      <c r="AP484" s="113">
        <v>36</v>
      </c>
      <c r="AQ484" s="243">
        <v>38</v>
      </c>
      <c r="AR484" s="275"/>
      <c r="AS484" s="244">
        <f t="shared" si="506"/>
        <v>38</v>
      </c>
      <c r="AT484" s="103"/>
      <c r="AU484" s="103"/>
      <c r="AV484" s="103"/>
    </row>
    <row r="485" spans="1:48" ht="12.75" hidden="1">
      <c r="A485" s="31">
        <v>75113</v>
      </c>
      <c r="B485" s="26"/>
      <c r="C485" s="19" t="s">
        <v>149</v>
      </c>
      <c r="D485" s="104"/>
      <c r="E485" s="106"/>
      <c r="F485" s="106"/>
      <c r="G485" s="109"/>
      <c r="H485" s="106"/>
      <c r="I485" s="109"/>
      <c r="J485" s="106"/>
      <c r="K485" s="110"/>
      <c r="L485" s="106"/>
      <c r="M485" s="109"/>
      <c r="N485" s="106"/>
      <c r="O485" s="106"/>
      <c r="P485" s="106"/>
      <c r="Q485" s="109"/>
      <c r="R485" s="106"/>
      <c r="S485" s="190">
        <f>SUM(S487:S491)</f>
        <v>7827</v>
      </c>
      <c r="T485" s="190">
        <f>SUM(T487:T491)</f>
        <v>7827</v>
      </c>
      <c r="U485" s="190">
        <f>SUM(U487:U491)</f>
        <v>0</v>
      </c>
      <c r="V485" s="190">
        <f>SUM(V487:V491)</f>
        <v>7827</v>
      </c>
      <c r="W485" s="190">
        <f>SUM(W487:W491)</f>
        <v>0</v>
      </c>
      <c r="X485" s="190">
        <f>SUM(X486:X491)</f>
        <v>7827</v>
      </c>
      <c r="Y485" s="190">
        <f aca="true" t="shared" si="513" ref="Y485:AD485">SUM(Y486:Y492)</f>
        <v>9765</v>
      </c>
      <c r="Z485" s="190">
        <f t="shared" si="513"/>
        <v>17592</v>
      </c>
      <c r="AA485" s="190">
        <f t="shared" si="513"/>
        <v>0</v>
      </c>
      <c r="AB485" s="190">
        <f t="shared" si="513"/>
        <v>17592</v>
      </c>
      <c r="AC485" s="190">
        <f t="shared" si="513"/>
        <v>0</v>
      </c>
      <c r="AD485" s="190">
        <f t="shared" si="513"/>
        <v>17592</v>
      </c>
      <c r="AE485" s="190">
        <f aca="true" t="shared" si="514" ref="AE485:AJ485">SUM(AE486:AE492)</f>
        <v>0</v>
      </c>
      <c r="AF485" s="190">
        <f t="shared" si="514"/>
        <v>17592</v>
      </c>
      <c r="AG485" s="191">
        <f t="shared" si="514"/>
        <v>0</v>
      </c>
      <c r="AH485" s="190">
        <f t="shared" si="514"/>
        <v>17592</v>
      </c>
      <c r="AI485" s="190">
        <f t="shared" si="514"/>
        <v>0</v>
      </c>
      <c r="AJ485" s="190">
        <f t="shared" si="514"/>
        <v>17592</v>
      </c>
      <c r="AK485" s="190">
        <f aca="true" t="shared" si="515" ref="AK485:AQ485">SUM(AK486:AK492)</f>
        <v>0</v>
      </c>
      <c r="AL485" s="190">
        <f t="shared" si="515"/>
        <v>17592</v>
      </c>
      <c r="AM485" s="190">
        <f t="shared" si="515"/>
        <v>-320</v>
      </c>
      <c r="AN485" s="190">
        <f t="shared" si="515"/>
        <v>17272</v>
      </c>
      <c r="AO485" s="190">
        <f t="shared" si="515"/>
        <v>0</v>
      </c>
      <c r="AP485" s="81">
        <f t="shared" si="515"/>
        <v>17268</v>
      </c>
      <c r="AQ485" s="247">
        <f t="shared" si="515"/>
        <v>0</v>
      </c>
      <c r="AR485" s="274"/>
      <c r="AS485" s="244">
        <f t="shared" si="506"/>
        <v>0</v>
      </c>
      <c r="AT485" s="103"/>
      <c r="AU485" s="103"/>
      <c r="AV485" s="103"/>
    </row>
    <row r="486" spans="1:50" ht="12.75" hidden="1">
      <c r="A486" s="31"/>
      <c r="B486" s="27">
        <v>3030</v>
      </c>
      <c r="C486" s="18" t="s">
        <v>34</v>
      </c>
      <c r="D486" s="104"/>
      <c r="E486" s="106"/>
      <c r="F486" s="106"/>
      <c r="G486" s="109"/>
      <c r="H486" s="106"/>
      <c r="I486" s="109"/>
      <c r="J486" s="106"/>
      <c r="K486" s="110"/>
      <c r="L486" s="106"/>
      <c r="M486" s="109"/>
      <c r="N486" s="106"/>
      <c r="O486" s="106"/>
      <c r="P486" s="106"/>
      <c r="Q486" s="109"/>
      <c r="R486" s="106"/>
      <c r="S486" s="190"/>
      <c r="T486" s="190"/>
      <c r="U486" s="190"/>
      <c r="V486" s="190"/>
      <c r="W486" s="190"/>
      <c r="X486" s="190"/>
      <c r="Y486" s="104">
        <v>9765</v>
      </c>
      <c r="Z486" s="106">
        <f aca="true" t="shared" si="516" ref="Z486:Z492">Y486+X486</f>
        <v>9765</v>
      </c>
      <c r="AA486" s="104"/>
      <c r="AB486" s="106">
        <f aca="true" t="shared" si="517" ref="AB486:AB492">AA486+Z486</f>
        <v>9765</v>
      </c>
      <c r="AC486" s="104"/>
      <c r="AD486" s="106">
        <f aca="true" t="shared" si="518" ref="AD486:AD492">AC486+AB486</f>
        <v>9765</v>
      </c>
      <c r="AE486" s="104"/>
      <c r="AF486" s="106">
        <f aca="true" t="shared" si="519" ref="AF486:AF492">AE486+AD486</f>
        <v>9765</v>
      </c>
      <c r="AG486" s="195"/>
      <c r="AH486" s="106">
        <f aca="true" t="shared" si="520" ref="AH486:AH492">AG486+AF486</f>
        <v>9765</v>
      </c>
      <c r="AI486" s="104"/>
      <c r="AJ486" s="106">
        <f aca="true" t="shared" si="521" ref="AJ486:AJ492">AI486+AH486</f>
        <v>9765</v>
      </c>
      <c r="AK486" s="104"/>
      <c r="AL486" s="106">
        <f aca="true" t="shared" si="522" ref="AL486:AL492">AK486+AJ486</f>
        <v>9765</v>
      </c>
      <c r="AM486" s="104"/>
      <c r="AN486" s="106">
        <f aca="true" t="shared" si="523" ref="AN486:AN492">AL486+AM486</f>
        <v>9765</v>
      </c>
      <c r="AO486" s="106"/>
      <c r="AP486" s="113">
        <v>9495</v>
      </c>
      <c r="AQ486" s="243"/>
      <c r="AR486" s="275"/>
      <c r="AS486" s="244">
        <f t="shared" si="506"/>
        <v>0</v>
      </c>
      <c r="AT486" s="103"/>
      <c r="AU486" s="103"/>
      <c r="AV486" s="103"/>
      <c r="AW486">
        <v>9495</v>
      </c>
      <c r="AX486" s="15">
        <f>Z486-AW486</f>
        <v>270</v>
      </c>
    </row>
    <row r="487" spans="1:50" ht="12.75" hidden="1">
      <c r="A487" s="31"/>
      <c r="B487" s="27">
        <v>4110</v>
      </c>
      <c r="C487" s="18" t="s">
        <v>39</v>
      </c>
      <c r="D487" s="104"/>
      <c r="E487" s="106"/>
      <c r="F487" s="106"/>
      <c r="G487" s="109"/>
      <c r="H487" s="106"/>
      <c r="I487" s="109"/>
      <c r="J487" s="106"/>
      <c r="K487" s="110"/>
      <c r="L487" s="106"/>
      <c r="M487" s="109"/>
      <c r="N487" s="106"/>
      <c r="O487" s="106"/>
      <c r="P487" s="106"/>
      <c r="Q487" s="109"/>
      <c r="R487" s="106"/>
      <c r="S487" s="104">
        <v>310</v>
      </c>
      <c r="T487" s="106">
        <f>S487+P487</f>
        <v>310</v>
      </c>
      <c r="U487" s="104"/>
      <c r="V487" s="106">
        <f>U487+T487</f>
        <v>310</v>
      </c>
      <c r="W487" s="104"/>
      <c r="X487" s="106">
        <f>W487+V487</f>
        <v>310</v>
      </c>
      <c r="Y487" s="104">
        <v>305</v>
      </c>
      <c r="Z487" s="106">
        <f t="shared" si="516"/>
        <v>615</v>
      </c>
      <c r="AA487" s="104"/>
      <c r="AB487" s="106">
        <f t="shared" si="517"/>
        <v>615</v>
      </c>
      <c r="AC487" s="104"/>
      <c r="AD487" s="106">
        <f t="shared" si="518"/>
        <v>615</v>
      </c>
      <c r="AE487" s="104"/>
      <c r="AF487" s="106">
        <f t="shared" si="519"/>
        <v>615</v>
      </c>
      <c r="AG487" s="195"/>
      <c r="AH487" s="106">
        <f t="shared" si="520"/>
        <v>615</v>
      </c>
      <c r="AI487" s="104"/>
      <c r="AJ487" s="106">
        <f t="shared" si="521"/>
        <v>615</v>
      </c>
      <c r="AK487" s="104"/>
      <c r="AL487" s="106">
        <f t="shared" si="522"/>
        <v>615</v>
      </c>
      <c r="AM487" s="104"/>
      <c r="AN487" s="106">
        <f t="shared" si="523"/>
        <v>615</v>
      </c>
      <c r="AO487" s="192"/>
      <c r="AP487" s="220">
        <v>605</v>
      </c>
      <c r="AQ487" s="248"/>
      <c r="AR487" s="277"/>
      <c r="AS487" s="244">
        <f t="shared" si="506"/>
        <v>0</v>
      </c>
      <c r="AT487" s="103"/>
      <c r="AU487" s="103"/>
      <c r="AV487" s="103"/>
      <c r="AW487">
        <f>199.36+259.42+25.67+65.43+55.23</f>
        <v>605.1100000000001</v>
      </c>
      <c r="AX487" s="15">
        <f aca="true" t="shared" si="524" ref="AX487:AX510">Z487-AW487</f>
        <v>9.889999999999873</v>
      </c>
    </row>
    <row r="488" spans="1:50" ht="12.75" hidden="1">
      <c r="A488" s="31"/>
      <c r="B488" s="27">
        <v>4120</v>
      </c>
      <c r="C488" s="18" t="s">
        <v>40</v>
      </c>
      <c r="D488" s="104"/>
      <c r="E488" s="106"/>
      <c r="F488" s="106"/>
      <c r="G488" s="109"/>
      <c r="H488" s="106"/>
      <c r="I488" s="109"/>
      <c r="J488" s="106"/>
      <c r="K488" s="110"/>
      <c r="L488" s="106"/>
      <c r="M488" s="109"/>
      <c r="N488" s="106"/>
      <c r="O488" s="106"/>
      <c r="P488" s="106"/>
      <c r="Q488" s="109"/>
      <c r="R488" s="106"/>
      <c r="S488" s="104">
        <v>50</v>
      </c>
      <c r="T488" s="106">
        <f>S488+P488</f>
        <v>50</v>
      </c>
      <c r="U488" s="104"/>
      <c r="V488" s="106">
        <f>U488+T488</f>
        <v>50</v>
      </c>
      <c r="W488" s="104"/>
      <c r="X488" s="106">
        <f>W488+V488</f>
        <v>50</v>
      </c>
      <c r="Y488" s="104">
        <v>55</v>
      </c>
      <c r="Z488" s="106">
        <f t="shared" si="516"/>
        <v>105</v>
      </c>
      <c r="AA488" s="104"/>
      <c r="AB488" s="106">
        <f t="shared" si="517"/>
        <v>105</v>
      </c>
      <c r="AC488" s="104"/>
      <c r="AD488" s="106">
        <f t="shared" si="518"/>
        <v>105</v>
      </c>
      <c r="AE488" s="104"/>
      <c r="AF488" s="106">
        <f t="shared" si="519"/>
        <v>105</v>
      </c>
      <c r="AG488" s="195"/>
      <c r="AH488" s="106">
        <f t="shared" si="520"/>
        <v>105</v>
      </c>
      <c r="AI488" s="104"/>
      <c r="AJ488" s="106">
        <f t="shared" si="521"/>
        <v>105</v>
      </c>
      <c r="AK488" s="104"/>
      <c r="AL488" s="106">
        <f t="shared" si="522"/>
        <v>105</v>
      </c>
      <c r="AM488" s="212">
        <v>-320</v>
      </c>
      <c r="AN488" s="213">
        <f t="shared" si="523"/>
        <v>-215</v>
      </c>
      <c r="AO488" s="192"/>
      <c r="AP488" s="220">
        <v>98</v>
      </c>
      <c r="AQ488" s="248"/>
      <c r="AR488" s="277"/>
      <c r="AS488" s="244">
        <f t="shared" si="506"/>
        <v>0</v>
      </c>
      <c r="AT488" s="103"/>
      <c r="AU488" s="103"/>
      <c r="AV488" s="103"/>
      <c r="AW488">
        <f>32.35+42.09+4.17+10.62+8.96</f>
        <v>98.19</v>
      </c>
      <c r="AX488" s="15">
        <f t="shared" si="524"/>
        <v>6.810000000000002</v>
      </c>
    </row>
    <row r="489" spans="1:50" ht="12.75" hidden="1">
      <c r="A489" s="31"/>
      <c r="B489" s="27">
        <v>4170</v>
      </c>
      <c r="C489" s="18" t="s">
        <v>42</v>
      </c>
      <c r="D489" s="104"/>
      <c r="E489" s="106"/>
      <c r="F489" s="106"/>
      <c r="G489" s="109"/>
      <c r="H489" s="106"/>
      <c r="I489" s="109"/>
      <c r="J489" s="106"/>
      <c r="K489" s="110"/>
      <c r="L489" s="106"/>
      <c r="M489" s="109"/>
      <c r="N489" s="106"/>
      <c r="O489" s="106"/>
      <c r="P489" s="106"/>
      <c r="Q489" s="109"/>
      <c r="R489" s="106"/>
      <c r="S489" s="104">
        <v>2000</v>
      </c>
      <c r="T489" s="106">
        <f>S489+P489</f>
        <v>2000</v>
      </c>
      <c r="U489" s="104"/>
      <c r="V489" s="106">
        <f>U489+T489</f>
        <v>2000</v>
      </c>
      <c r="W489" s="104"/>
      <c r="X489" s="106">
        <f>W489+V489</f>
        <v>2000</v>
      </c>
      <c r="Y489" s="104">
        <v>2702</v>
      </c>
      <c r="Z489" s="106">
        <f t="shared" si="516"/>
        <v>4702</v>
      </c>
      <c r="AA489" s="104"/>
      <c r="AB489" s="106">
        <f t="shared" si="517"/>
        <v>4702</v>
      </c>
      <c r="AC489" s="104"/>
      <c r="AD489" s="106">
        <f t="shared" si="518"/>
        <v>4702</v>
      </c>
      <c r="AE489" s="104"/>
      <c r="AF489" s="106">
        <f t="shared" si="519"/>
        <v>4702</v>
      </c>
      <c r="AG489" s="195"/>
      <c r="AH489" s="106">
        <f t="shared" si="520"/>
        <v>4702</v>
      </c>
      <c r="AI489" s="104"/>
      <c r="AJ489" s="106">
        <f t="shared" si="521"/>
        <v>4702</v>
      </c>
      <c r="AK489" s="104"/>
      <c r="AL489" s="106">
        <f t="shared" si="522"/>
        <v>4702</v>
      </c>
      <c r="AM489" s="104"/>
      <c r="AN489" s="106">
        <f t="shared" si="523"/>
        <v>4702</v>
      </c>
      <c r="AO489" s="192"/>
      <c r="AP489" s="220">
        <v>4688</v>
      </c>
      <c r="AQ489" s="248"/>
      <c r="AR489" s="277"/>
      <c r="AS489" s="244">
        <f t="shared" si="506"/>
        <v>0</v>
      </c>
      <c r="AT489" s="103"/>
      <c r="AU489" s="103"/>
      <c r="AV489" s="103"/>
      <c r="AW489">
        <f>1320.29+1718+170+433.5+680+365.81</f>
        <v>4687.6</v>
      </c>
      <c r="AX489" s="15">
        <f t="shared" si="524"/>
        <v>14.399999999999636</v>
      </c>
    </row>
    <row r="490" spans="1:50" ht="12.75" hidden="1">
      <c r="A490" s="21"/>
      <c r="B490" s="27">
        <v>4210</v>
      </c>
      <c r="C490" s="18" t="s">
        <v>14</v>
      </c>
      <c r="D490" s="104"/>
      <c r="E490" s="106"/>
      <c r="F490" s="106"/>
      <c r="G490" s="109"/>
      <c r="H490" s="106"/>
      <c r="I490" s="109"/>
      <c r="J490" s="106"/>
      <c r="K490" s="110"/>
      <c r="L490" s="106"/>
      <c r="M490" s="109"/>
      <c r="N490" s="106"/>
      <c r="O490" s="106"/>
      <c r="P490" s="106"/>
      <c r="Q490" s="109"/>
      <c r="R490" s="106"/>
      <c r="S490" s="109">
        <v>3172</v>
      </c>
      <c r="T490" s="106">
        <f>S490+P490</f>
        <v>3172</v>
      </c>
      <c r="U490" s="109"/>
      <c r="V490" s="106">
        <f>U490+T490</f>
        <v>3172</v>
      </c>
      <c r="W490" s="109"/>
      <c r="X490" s="106">
        <f>W490+V490</f>
        <v>3172</v>
      </c>
      <c r="Y490" s="109">
        <v>-2182</v>
      </c>
      <c r="Z490" s="106">
        <f t="shared" si="516"/>
        <v>990</v>
      </c>
      <c r="AA490" s="109">
        <v>2</v>
      </c>
      <c r="AB490" s="106">
        <f t="shared" si="517"/>
        <v>992</v>
      </c>
      <c r="AC490" s="109"/>
      <c r="AD490" s="106">
        <f t="shared" si="518"/>
        <v>992</v>
      </c>
      <c r="AE490" s="109"/>
      <c r="AF490" s="106">
        <f t="shared" si="519"/>
        <v>992</v>
      </c>
      <c r="AG490" s="147"/>
      <c r="AH490" s="106">
        <f t="shared" si="520"/>
        <v>992</v>
      </c>
      <c r="AI490" s="109"/>
      <c r="AJ490" s="106">
        <f t="shared" si="521"/>
        <v>992</v>
      </c>
      <c r="AK490" s="109"/>
      <c r="AL490" s="106">
        <f t="shared" si="522"/>
        <v>992</v>
      </c>
      <c r="AM490" s="109"/>
      <c r="AN490" s="106">
        <f t="shared" si="523"/>
        <v>992</v>
      </c>
      <c r="AO490" s="192"/>
      <c r="AP490" s="220">
        <v>991</v>
      </c>
      <c r="AQ490" s="248"/>
      <c r="AR490" s="277"/>
      <c r="AS490" s="244">
        <f t="shared" si="506"/>
        <v>0</v>
      </c>
      <c r="AT490" s="103"/>
      <c r="AU490" s="103"/>
      <c r="AV490" s="103"/>
      <c r="AW490">
        <f>199.92+200+578.92</f>
        <v>978.8399999999999</v>
      </c>
      <c r="AX490" s="15">
        <f t="shared" si="524"/>
        <v>11.160000000000082</v>
      </c>
    </row>
    <row r="491" spans="1:50" ht="12.75" hidden="1">
      <c r="A491" s="21"/>
      <c r="B491" s="27">
        <v>4300</v>
      </c>
      <c r="C491" s="18" t="s">
        <v>15</v>
      </c>
      <c r="D491" s="104"/>
      <c r="E491" s="106"/>
      <c r="F491" s="106"/>
      <c r="G491" s="109"/>
      <c r="H491" s="106"/>
      <c r="I491" s="109"/>
      <c r="J491" s="106"/>
      <c r="K491" s="110"/>
      <c r="L491" s="106"/>
      <c r="M491" s="109"/>
      <c r="N491" s="106"/>
      <c r="O491" s="106"/>
      <c r="P491" s="106"/>
      <c r="Q491" s="109"/>
      <c r="R491" s="106"/>
      <c r="S491" s="109">
        <v>2295</v>
      </c>
      <c r="T491" s="106">
        <f>S491+P491</f>
        <v>2295</v>
      </c>
      <c r="U491" s="109"/>
      <c r="V491" s="106">
        <f>U491+T491</f>
        <v>2295</v>
      </c>
      <c r="W491" s="109"/>
      <c r="X491" s="106">
        <f>W491+V491</f>
        <v>2295</v>
      </c>
      <c r="Y491" s="109">
        <v>-1305</v>
      </c>
      <c r="Z491" s="106">
        <f t="shared" si="516"/>
        <v>990</v>
      </c>
      <c r="AA491" s="109"/>
      <c r="AB491" s="106">
        <f t="shared" si="517"/>
        <v>990</v>
      </c>
      <c r="AC491" s="109"/>
      <c r="AD491" s="106">
        <f t="shared" si="518"/>
        <v>990</v>
      </c>
      <c r="AE491" s="109"/>
      <c r="AF491" s="106">
        <f t="shared" si="519"/>
        <v>990</v>
      </c>
      <c r="AG491" s="147"/>
      <c r="AH491" s="106">
        <f t="shared" si="520"/>
        <v>990</v>
      </c>
      <c r="AI491" s="109"/>
      <c r="AJ491" s="106">
        <f t="shared" si="521"/>
        <v>990</v>
      </c>
      <c r="AK491" s="109"/>
      <c r="AL491" s="106">
        <f t="shared" si="522"/>
        <v>990</v>
      </c>
      <c r="AM491" s="109"/>
      <c r="AN491" s="106">
        <f t="shared" si="523"/>
        <v>990</v>
      </c>
      <c r="AO491" s="106"/>
      <c r="AP491" s="113">
        <v>971</v>
      </c>
      <c r="AQ491" s="243"/>
      <c r="AR491" s="275"/>
      <c r="AS491" s="244">
        <f t="shared" si="506"/>
        <v>0</v>
      </c>
      <c r="AT491" s="103"/>
      <c r="AU491" s="103"/>
      <c r="AV491" s="103"/>
      <c r="AW491">
        <f>171.2+200*4</f>
        <v>971.2</v>
      </c>
      <c r="AX491" s="15">
        <f t="shared" si="524"/>
        <v>18.799999999999955</v>
      </c>
    </row>
    <row r="492" spans="1:50" ht="25.5" hidden="1">
      <c r="A492" s="21"/>
      <c r="B492" s="27">
        <v>4740</v>
      </c>
      <c r="C492" s="18" t="s">
        <v>52</v>
      </c>
      <c r="D492" s="104"/>
      <c r="E492" s="106"/>
      <c r="F492" s="106"/>
      <c r="G492" s="109"/>
      <c r="H492" s="106"/>
      <c r="I492" s="109"/>
      <c r="J492" s="106"/>
      <c r="K492" s="110"/>
      <c r="L492" s="106"/>
      <c r="M492" s="109"/>
      <c r="N492" s="106"/>
      <c r="O492" s="106"/>
      <c r="P492" s="106"/>
      <c r="Q492" s="109"/>
      <c r="R492" s="106"/>
      <c r="S492" s="109"/>
      <c r="T492" s="106"/>
      <c r="U492" s="109"/>
      <c r="V492" s="106"/>
      <c r="W492" s="109"/>
      <c r="X492" s="106"/>
      <c r="Y492" s="109">
        <v>425</v>
      </c>
      <c r="Z492" s="106">
        <f t="shared" si="516"/>
        <v>425</v>
      </c>
      <c r="AA492" s="109">
        <v>-2</v>
      </c>
      <c r="AB492" s="106">
        <f t="shared" si="517"/>
        <v>423</v>
      </c>
      <c r="AC492" s="109"/>
      <c r="AD492" s="106">
        <f t="shared" si="518"/>
        <v>423</v>
      </c>
      <c r="AE492" s="109"/>
      <c r="AF492" s="106">
        <f t="shared" si="519"/>
        <v>423</v>
      </c>
      <c r="AG492" s="147"/>
      <c r="AH492" s="106">
        <f t="shared" si="520"/>
        <v>423</v>
      </c>
      <c r="AI492" s="109"/>
      <c r="AJ492" s="106">
        <f t="shared" si="521"/>
        <v>423</v>
      </c>
      <c r="AK492" s="109"/>
      <c r="AL492" s="106">
        <f t="shared" si="522"/>
        <v>423</v>
      </c>
      <c r="AM492" s="109"/>
      <c r="AN492" s="106">
        <f t="shared" si="523"/>
        <v>423</v>
      </c>
      <c r="AO492" s="106"/>
      <c r="AP492" s="113">
        <v>420</v>
      </c>
      <c r="AQ492" s="243"/>
      <c r="AR492" s="275"/>
      <c r="AS492" s="244">
        <f t="shared" si="506"/>
        <v>0</v>
      </c>
      <c r="AT492" s="103"/>
      <c r="AU492" s="103"/>
      <c r="AV492" s="103"/>
      <c r="AW492">
        <v>420.17</v>
      </c>
      <c r="AX492" s="15">
        <f t="shared" si="524"/>
        <v>4.829999999999984</v>
      </c>
    </row>
    <row r="493" spans="1:50" ht="12.75" hidden="1">
      <c r="A493" s="218">
        <v>852</v>
      </c>
      <c r="B493" s="187"/>
      <c r="C493" s="188" t="s">
        <v>88</v>
      </c>
      <c r="D493" s="189">
        <f aca="true" t="shared" si="525" ref="D493:J493">SUM(D494,D507,D509)</f>
        <v>3916200</v>
      </c>
      <c r="E493" s="189">
        <f t="shared" si="525"/>
        <v>0</v>
      </c>
      <c r="F493" s="189">
        <f t="shared" si="525"/>
        <v>3916200</v>
      </c>
      <c r="G493" s="189">
        <f t="shared" si="525"/>
        <v>212700</v>
      </c>
      <c r="H493" s="189">
        <f t="shared" si="525"/>
        <v>4128900</v>
      </c>
      <c r="I493" s="189">
        <f t="shared" si="525"/>
        <v>0</v>
      </c>
      <c r="J493" s="189">
        <f t="shared" si="525"/>
        <v>4128900</v>
      </c>
      <c r="K493" s="110"/>
      <c r="L493" s="189">
        <f>SUM(L494,L507,L509)</f>
        <v>4128900</v>
      </c>
      <c r="M493" s="109"/>
      <c r="N493" s="189">
        <f>SUM(N494,N507,N509)</f>
        <v>4128900</v>
      </c>
      <c r="O493" s="189"/>
      <c r="P493" s="189">
        <f>SUM(P494,P507,P509)</f>
        <v>4128900</v>
      </c>
      <c r="Q493" s="109"/>
      <c r="R493" s="189">
        <f>SUM(R494,R507,R509)</f>
        <v>4128900</v>
      </c>
      <c r="S493" s="109"/>
      <c r="T493" s="189">
        <f>SUM(T494,T507,T509)</f>
        <v>4128900</v>
      </c>
      <c r="U493" s="109"/>
      <c r="V493" s="189">
        <f>SUM(V494,V507,V509)</f>
        <v>4128900</v>
      </c>
      <c r="W493" s="109"/>
      <c r="X493" s="189">
        <f>SUM(X494,X507,X509)</f>
        <v>4128900</v>
      </c>
      <c r="Y493" s="109"/>
      <c r="Z493" s="189">
        <f>SUM(Z494,Z507,Z509)</f>
        <v>4128900</v>
      </c>
      <c r="AA493" s="109"/>
      <c r="AB493" s="189">
        <f>SUM(AB494,AB507,AB509)</f>
        <v>4128900</v>
      </c>
      <c r="AC493" s="109"/>
      <c r="AD493" s="189">
        <f>SUM(AD494,AD507,AD509)</f>
        <v>4128900</v>
      </c>
      <c r="AE493" s="109"/>
      <c r="AF493" s="189">
        <f>SUM(AF494,AF507,AF509)</f>
        <v>4128900</v>
      </c>
      <c r="AG493" s="147"/>
      <c r="AH493" s="189">
        <f aca="true" t="shared" si="526" ref="AH493:AN493">SUM(AH494,AH507,AH509)</f>
        <v>4128900</v>
      </c>
      <c r="AI493" s="189">
        <f t="shared" si="526"/>
        <v>0</v>
      </c>
      <c r="AJ493" s="189">
        <f t="shared" si="526"/>
        <v>4128900</v>
      </c>
      <c r="AK493" s="189">
        <f t="shared" si="526"/>
        <v>-572532</v>
      </c>
      <c r="AL493" s="189">
        <f t="shared" si="526"/>
        <v>3556368</v>
      </c>
      <c r="AM493" s="189">
        <f t="shared" si="526"/>
        <v>0</v>
      </c>
      <c r="AN493" s="189">
        <f t="shared" si="526"/>
        <v>3556368</v>
      </c>
      <c r="AO493" s="189">
        <f>SUM(AO494,AO507,AO509)</f>
        <v>3651839</v>
      </c>
      <c r="AP493" s="221">
        <f>SUM(AP494,AP507,AP509)</f>
        <v>2339260</v>
      </c>
      <c r="AQ493" s="249">
        <f>SUM(AQ494,AQ507,AQ509)</f>
        <v>3790600</v>
      </c>
      <c r="AR493" s="276"/>
      <c r="AS493" s="244">
        <f t="shared" si="506"/>
        <v>3790600</v>
      </c>
      <c r="AT493" s="103"/>
      <c r="AU493" s="103"/>
      <c r="AV493" s="103"/>
      <c r="AX493" s="15">
        <f t="shared" si="524"/>
        <v>4128900</v>
      </c>
    </row>
    <row r="494" spans="1:50" ht="25.5" hidden="1">
      <c r="A494" s="31">
        <v>85212</v>
      </c>
      <c r="B494" s="26"/>
      <c r="C494" s="19" t="s">
        <v>116</v>
      </c>
      <c r="D494" s="208">
        <f>SUM(D495:D503)</f>
        <v>3695200</v>
      </c>
      <c r="E494" s="208">
        <f>SUM(E495:E503)</f>
        <v>0</v>
      </c>
      <c r="F494" s="208">
        <f>SUM(F495:F503)</f>
        <v>3695200</v>
      </c>
      <c r="G494" s="208">
        <f>SUM(G495:G506)</f>
        <v>190600</v>
      </c>
      <c r="H494" s="208">
        <f>SUM(H495:H506)</f>
        <v>3885800</v>
      </c>
      <c r="I494" s="208">
        <f>SUM(I495:I506)</f>
        <v>0</v>
      </c>
      <c r="J494" s="208">
        <f>SUM(J495:J506)</f>
        <v>3885800</v>
      </c>
      <c r="K494" s="110"/>
      <c r="L494" s="208">
        <f>SUM(L495:L506)</f>
        <v>3885800</v>
      </c>
      <c r="M494" s="109"/>
      <c r="N494" s="208">
        <f>SUM(N495:N506)</f>
        <v>3885800</v>
      </c>
      <c r="O494" s="208"/>
      <c r="P494" s="208">
        <f>SUM(P495:P506)</f>
        <v>3885800</v>
      </c>
      <c r="Q494" s="109"/>
      <c r="R494" s="208">
        <f>SUM(R495:R506)</f>
        <v>3885800</v>
      </c>
      <c r="S494" s="109"/>
      <c r="T494" s="208">
        <f>SUM(T495:T506)</f>
        <v>3885800</v>
      </c>
      <c r="U494" s="109"/>
      <c r="V494" s="208">
        <f>SUM(V495:V506)</f>
        <v>3885800</v>
      </c>
      <c r="W494" s="109"/>
      <c r="X494" s="208">
        <f>SUM(X495:X506)</f>
        <v>3885800</v>
      </c>
      <c r="Y494" s="109"/>
      <c r="Z494" s="208">
        <f>SUM(Z495:Z506)</f>
        <v>3885800</v>
      </c>
      <c r="AA494" s="109"/>
      <c r="AB494" s="208">
        <f>SUM(AB495:AB506)</f>
        <v>3885800</v>
      </c>
      <c r="AC494" s="109"/>
      <c r="AD494" s="208">
        <f>SUM(AD495:AD506)</f>
        <v>3885800</v>
      </c>
      <c r="AE494" s="109"/>
      <c r="AF494" s="208">
        <f>SUM(AF495:AF506)</f>
        <v>3885800</v>
      </c>
      <c r="AG494" s="147"/>
      <c r="AH494" s="208">
        <f aca="true" t="shared" si="527" ref="AH494:AN494">SUM(AH495:AH506)</f>
        <v>3885800</v>
      </c>
      <c r="AI494" s="208">
        <f t="shared" si="527"/>
        <v>0</v>
      </c>
      <c r="AJ494" s="208">
        <f t="shared" si="527"/>
        <v>3885800</v>
      </c>
      <c r="AK494" s="208">
        <f t="shared" si="527"/>
        <v>-435323</v>
      </c>
      <c r="AL494" s="208">
        <f t="shared" si="527"/>
        <v>3450477</v>
      </c>
      <c r="AM494" s="208">
        <f t="shared" si="527"/>
        <v>0</v>
      </c>
      <c r="AN494" s="208">
        <f t="shared" si="527"/>
        <v>3450477</v>
      </c>
      <c r="AO494" s="208">
        <f>SUM(AO495:AO506)</f>
        <v>3545948</v>
      </c>
      <c r="AP494" s="223">
        <f>SUM(AP495:AP506)</f>
        <v>2238285</v>
      </c>
      <c r="AQ494" s="258">
        <f>SUM(AQ495:AQ506)</f>
        <v>3775600</v>
      </c>
      <c r="AR494" s="282"/>
      <c r="AS494" s="244">
        <f t="shared" si="506"/>
        <v>3775600</v>
      </c>
      <c r="AT494" s="103"/>
      <c r="AU494" s="103"/>
      <c r="AV494" s="103"/>
      <c r="AX494" s="15">
        <f t="shared" si="524"/>
        <v>3885800</v>
      </c>
    </row>
    <row r="495" spans="1:50" ht="12.75" hidden="1">
      <c r="A495" s="21"/>
      <c r="B495" s="27">
        <v>3110</v>
      </c>
      <c r="C495" s="18" t="s">
        <v>91</v>
      </c>
      <c r="D495" s="104">
        <v>3568093</v>
      </c>
      <c r="E495" s="106"/>
      <c r="F495" s="106">
        <f>E495+D495</f>
        <v>3568093</v>
      </c>
      <c r="G495" s="109">
        <v>175000</v>
      </c>
      <c r="H495" s="106">
        <f>G495+F495</f>
        <v>3743093</v>
      </c>
      <c r="I495" s="109"/>
      <c r="J495" s="106">
        <f>I495+H495</f>
        <v>3743093</v>
      </c>
      <c r="K495" s="110"/>
      <c r="L495" s="106">
        <f aca="true" t="shared" si="528" ref="L495:L506">K495+H495</f>
        <v>3743093</v>
      </c>
      <c r="M495" s="109"/>
      <c r="N495" s="106">
        <f>M495+L495</f>
        <v>3743093</v>
      </c>
      <c r="O495" s="106"/>
      <c r="P495" s="106">
        <f>O495+N495</f>
        <v>3743093</v>
      </c>
      <c r="Q495" s="109"/>
      <c r="R495" s="106">
        <f aca="true" t="shared" si="529" ref="R495:R506">Q495+N495</f>
        <v>3743093</v>
      </c>
      <c r="S495" s="109"/>
      <c r="T495" s="106">
        <f aca="true" t="shared" si="530" ref="T495:T506">S495+P495</f>
        <v>3743093</v>
      </c>
      <c r="U495" s="109"/>
      <c r="V495" s="106">
        <f aca="true" t="shared" si="531" ref="V495:V506">U495+R495</f>
        <v>3743093</v>
      </c>
      <c r="W495" s="109"/>
      <c r="X495" s="106">
        <f aca="true" t="shared" si="532" ref="X495:X506">W495+T495</f>
        <v>3743093</v>
      </c>
      <c r="Y495" s="109"/>
      <c r="Z495" s="106">
        <f aca="true" t="shared" si="533" ref="Z495:Z506">Y495+V495</f>
        <v>3743093</v>
      </c>
      <c r="AA495" s="109"/>
      <c r="AB495" s="106">
        <f aca="true" t="shared" si="534" ref="AB495:AB506">AA495+X495</f>
        <v>3743093</v>
      </c>
      <c r="AC495" s="109"/>
      <c r="AD495" s="106">
        <f aca="true" t="shared" si="535" ref="AD495:AD506">AC495+Z495</f>
        <v>3743093</v>
      </c>
      <c r="AE495" s="109"/>
      <c r="AF495" s="106">
        <f aca="true" t="shared" si="536" ref="AF495:AF506">AE495+AB495</f>
        <v>3743093</v>
      </c>
      <c r="AG495" s="147"/>
      <c r="AH495" s="106">
        <f aca="true" t="shared" si="537" ref="AH495:AH506">AG495+AD495</f>
        <v>3743093</v>
      </c>
      <c r="AI495" s="109"/>
      <c r="AJ495" s="106">
        <f aca="true" t="shared" si="538" ref="AJ495:AJ506">AI495+AF495</f>
        <v>3743093</v>
      </c>
      <c r="AK495" s="109">
        <v>-407494</v>
      </c>
      <c r="AL495" s="106">
        <f aca="true" t="shared" si="539" ref="AL495:AL506">AK495+AH495</f>
        <v>3335599</v>
      </c>
      <c r="AM495" s="109">
        <v>11364</v>
      </c>
      <c r="AN495" s="106">
        <f aca="true" t="shared" si="540" ref="AN495:AN506">AL495+AM495</f>
        <v>3346963</v>
      </c>
      <c r="AO495" s="106">
        <v>3399442</v>
      </c>
      <c r="AP495" s="113">
        <v>2143824</v>
      </c>
      <c r="AQ495" s="248">
        <v>3662332</v>
      </c>
      <c r="AR495" s="277"/>
      <c r="AS495" s="244">
        <f t="shared" si="506"/>
        <v>3662332</v>
      </c>
      <c r="AT495" s="103"/>
      <c r="AU495" s="103"/>
      <c r="AV495" s="103"/>
      <c r="AX495" s="15">
        <f t="shared" si="524"/>
        <v>3743093</v>
      </c>
    </row>
    <row r="496" spans="1:50" ht="12.75" hidden="1">
      <c r="A496" s="21"/>
      <c r="B496" s="27">
        <v>4010</v>
      </c>
      <c r="C496" s="18" t="s">
        <v>37</v>
      </c>
      <c r="D496" s="104">
        <v>70649</v>
      </c>
      <c r="E496" s="106"/>
      <c r="F496" s="106">
        <f aca="true" t="shared" si="541" ref="F496:F510">E496+D496</f>
        <v>70649</v>
      </c>
      <c r="G496" s="109"/>
      <c r="H496" s="106">
        <f aca="true" t="shared" si="542" ref="H496:H510">G496+F496</f>
        <v>70649</v>
      </c>
      <c r="I496" s="109"/>
      <c r="J496" s="106">
        <f aca="true" t="shared" si="543" ref="J496:J506">I496+H496</f>
        <v>70649</v>
      </c>
      <c r="K496" s="110"/>
      <c r="L496" s="106">
        <f t="shared" si="528"/>
        <v>70649</v>
      </c>
      <c r="M496" s="109"/>
      <c r="N496" s="106">
        <f aca="true" t="shared" si="544" ref="N496:P506">M496+L496</f>
        <v>70649</v>
      </c>
      <c r="O496" s="106"/>
      <c r="P496" s="106">
        <f t="shared" si="544"/>
        <v>70649</v>
      </c>
      <c r="Q496" s="109"/>
      <c r="R496" s="106">
        <f t="shared" si="529"/>
        <v>70649</v>
      </c>
      <c r="S496" s="109"/>
      <c r="T496" s="106">
        <f t="shared" si="530"/>
        <v>70649</v>
      </c>
      <c r="U496" s="109"/>
      <c r="V496" s="106">
        <f t="shared" si="531"/>
        <v>70649</v>
      </c>
      <c r="W496" s="109"/>
      <c r="X496" s="106">
        <f t="shared" si="532"/>
        <v>70649</v>
      </c>
      <c r="Y496" s="109"/>
      <c r="Z496" s="106">
        <f t="shared" si="533"/>
        <v>70649</v>
      </c>
      <c r="AA496" s="109"/>
      <c r="AB496" s="106">
        <f t="shared" si="534"/>
        <v>70649</v>
      </c>
      <c r="AC496" s="109"/>
      <c r="AD496" s="106">
        <f t="shared" si="535"/>
        <v>70649</v>
      </c>
      <c r="AE496" s="109"/>
      <c r="AF496" s="106">
        <f t="shared" si="536"/>
        <v>70649</v>
      </c>
      <c r="AG496" s="147"/>
      <c r="AH496" s="106">
        <f t="shared" si="537"/>
        <v>70649</v>
      </c>
      <c r="AI496" s="109"/>
      <c r="AJ496" s="106">
        <f t="shared" si="538"/>
        <v>70649</v>
      </c>
      <c r="AK496" s="109">
        <v>-9844</v>
      </c>
      <c r="AL496" s="106">
        <f t="shared" si="539"/>
        <v>60805</v>
      </c>
      <c r="AM496" s="109">
        <v>-7929</v>
      </c>
      <c r="AN496" s="106">
        <f t="shared" si="540"/>
        <v>52876</v>
      </c>
      <c r="AO496" s="106">
        <v>64207</v>
      </c>
      <c r="AP496" s="113">
        <v>48780</v>
      </c>
      <c r="AQ496" s="248">
        <v>56599</v>
      </c>
      <c r="AR496" s="277"/>
      <c r="AS496" s="244">
        <f t="shared" si="506"/>
        <v>56599</v>
      </c>
      <c r="AT496" s="103"/>
      <c r="AU496" s="103"/>
      <c r="AV496" s="103"/>
      <c r="AX496" s="15">
        <f t="shared" si="524"/>
        <v>70649</v>
      </c>
    </row>
    <row r="497" spans="1:50" ht="12.75" hidden="1">
      <c r="A497" s="21"/>
      <c r="B497" s="27">
        <v>4040</v>
      </c>
      <c r="C497" s="18" t="s">
        <v>38</v>
      </c>
      <c r="D497" s="104">
        <v>5217</v>
      </c>
      <c r="E497" s="106"/>
      <c r="F497" s="106">
        <f t="shared" si="541"/>
        <v>5217</v>
      </c>
      <c r="G497" s="109"/>
      <c r="H497" s="106">
        <f t="shared" si="542"/>
        <v>5217</v>
      </c>
      <c r="I497" s="109"/>
      <c r="J497" s="106">
        <f t="shared" si="543"/>
        <v>5217</v>
      </c>
      <c r="K497" s="110"/>
      <c r="L497" s="106">
        <f t="shared" si="528"/>
        <v>5217</v>
      </c>
      <c r="M497" s="109"/>
      <c r="N497" s="106">
        <f t="shared" si="544"/>
        <v>5217</v>
      </c>
      <c r="O497" s="106"/>
      <c r="P497" s="106">
        <f t="shared" si="544"/>
        <v>5217</v>
      </c>
      <c r="Q497" s="109"/>
      <c r="R497" s="106">
        <f t="shared" si="529"/>
        <v>5217</v>
      </c>
      <c r="S497" s="109"/>
      <c r="T497" s="106">
        <f t="shared" si="530"/>
        <v>5217</v>
      </c>
      <c r="U497" s="109"/>
      <c r="V497" s="106">
        <f t="shared" si="531"/>
        <v>5217</v>
      </c>
      <c r="W497" s="109"/>
      <c r="X497" s="106">
        <f t="shared" si="532"/>
        <v>5217</v>
      </c>
      <c r="Y497" s="109"/>
      <c r="Z497" s="106">
        <f t="shared" si="533"/>
        <v>5217</v>
      </c>
      <c r="AA497" s="109"/>
      <c r="AB497" s="106">
        <f t="shared" si="534"/>
        <v>5217</v>
      </c>
      <c r="AC497" s="109"/>
      <c r="AD497" s="106">
        <f t="shared" si="535"/>
        <v>5217</v>
      </c>
      <c r="AE497" s="109"/>
      <c r="AF497" s="106">
        <f t="shared" si="536"/>
        <v>5217</v>
      </c>
      <c r="AG497" s="147"/>
      <c r="AH497" s="106">
        <f t="shared" si="537"/>
        <v>5217</v>
      </c>
      <c r="AI497" s="109"/>
      <c r="AJ497" s="106">
        <f t="shared" si="538"/>
        <v>5217</v>
      </c>
      <c r="AK497" s="109"/>
      <c r="AL497" s="106">
        <f t="shared" si="539"/>
        <v>5217</v>
      </c>
      <c r="AM497" s="109">
        <v>-230</v>
      </c>
      <c r="AN497" s="106">
        <f t="shared" si="540"/>
        <v>4987</v>
      </c>
      <c r="AO497" s="106">
        <v>4772</v>
      </c>
      <c r="AP497" s="113">
        <v>4986</v>
      </c>
      <c r="AQ497" s="248">
        <v>6069</v>
      </c>
      <c r="AR497" s="277"/>
      <c r="AS497" s="244">
        <f t="shared" si="506"/>
        <v>6069</v>
      </c>
      <c r="AT497" s="103"/>
      <c r="AU497" s="103"/>
      <c r="AV497" s="103"/>
      <c r="AX497" s="15">
        <f t="shared" si="524"/>
        <v>5217</v>
      </c>
    </row>
    <row r="498" spans="1:50" ht="12.75" hidden="1">
      <c r="A498" s="21"/>
      <c r="B498" s="27">
        <v>4110</v>
      </c>
      <c r="C498" s="18" t="s">
        <v>39</v>
      </c>
      <c r="D498" s="104">
        <v>32554</v>
      </c>
      <c r="E498" s="106"/>
      <c r="F498" s="106">
        <f t="shared" si="541"/>
        <v>32554</v>
      </c>
      <c r="G498" s="109">
        <v>10000</v>
      </c>
      <c r="H498" s="106">
        <f t="shared" si="542"/>
        <v>42554</v>
      </c>
      <c r="I498" s="109"/>
      <c r="J498" s="106">
        <f t="shared" si="543"/>
        <v>42554</v>
      </c>
      <c r="K498" s="110"/>
      <c r="L498" s="106">
        <f t="shared" si="528"/>
        <v>42554</v>
      </c>
      <c r="M498" s="109"/>
      <c r="N498" s="106">
        <f t="shared" si="544"/>
        <v>42554</v>
      </c>
      <c r="O498" s="106"/>
      <c r="P498" s="106">
        <f t="shared" si="544"/>
        <v>42554</v>
      </c>
      <c r="Q498" s="109"/>
      <c r="R498" s="106">
        <f t="shared" si="529"/>
        <v>42554</v>
      </c>
      <c r="S498" s="109"/>
      <c r="T498" s="106">
        <f t="shared" si="530"/>
        <v>42554</v>
      </c>
      <c r="U498" s="109"/>
      <c r="V498" s="106">
        <f t="shared" si="531"/>
        <v>42554</v>
      </c>
      <c r="W498" s="109"/>
      <c r="X498" s="106">
        <f t="shared" si="532"/>
        <v>42554</v>
      </c>
      <c r="Y498" s="109"/>
      <c r="Z498" s="106">
        <f t="shared" si="533"/>
        <v>42554</v>
      </c>
      <c r="AA498" s="109"/>
      <c r="AB498" s="106">
        <f t="shared" si="534"/>
        <v>42554</v>
      </c>
      <c r="AC498" s="109"/>
      <c r="AD498" s="106">
        <f t="shared" si="535"/>
        <v>42554</v>
      </c>
      <c r="AE498" s="109"/>
      <c r="AF498" s="106">
        <f t="shared" si="536"/>
        <v>42554</v>
      </c>
      <c r="AG498" s="147"/>
      <c r="AH498" s="106">
        <f t="shared" si="537"/>
        <v>42554</v>
      </c>
      <c r="AI498" s="109"/>
      <c r="AJ498" s="106">
        <f t="shared" si="538"/>
        <v>42554</v>
      </c>
      <c r="AK498" s="109">
        <v>-9434</v>
      </c>
      <c r="AL498" s="106">
        <f t="shared" si="539"/>
        <v>33120</v>
      </c>
      <c r="AM498" s="109">
        <v>-2855</v>
      </c>
      <c r="AN498" s="106">
        <f t="shared" si="540"/>
        <v>30265</v>
      </c>
      <c r="AO498" s="106">
        <v>46053</v>
      </c>
      <c r="AP498" s="113">
        <v>26496</v>
      </c>
      <c r="AQ498" s="248">
        <v>31600</v>
      </c>
      <c r="AR498" s="277"/>
      <c r="AS498" s="244">
        <f t="shared" si="506"/>
        <v>31600</v>
      </c>
      <c r="AT498" s="103"/>
      <c r="AU498" s="103"/>
      <c r="AV498" s="103"/>
      <c r="AX498" s="15">
        <f t="shared" si="524"/>
        <v>42554</v>
      </c>
    </row>
    <row r="499" spans="1:50" ht="12.75" hidden="1">
      <c r="A499" s="21"/>
      <c r="B499" s="27">
        <v>4120</v>
      </c>
      <c r="C499" s="18" t="s">
        <v>40</v>
      </c>
      <c r="D499" s="104">
        <v>1860</v>
      </c>
      <c r="E499" s="106"/>
      <c r="F499" s="106">
        <f t="shared" si="541"/>
        <v>1860</v>
      </c>
      <c r="G499" s="109"/>
      <c r="H499" s="106">
        <f t="shared" si="542"/>
        <v>1860</v>
      </c>
      <c r="I499" s="109"/>
      <c r="J499" s="106">
        <f t="shared" si="543"/>
        <v>1860</v>
      </c>
      <c r="K499" s="110"/>
      <c r="L499" s="106">
        <f t="shared" si="528"/>
        <v>1860</v>
      </c>
      <c r="M499" s="109"/>
      <c r="N499" s="106">
        <f t="shared" si="544"/>
        <v>1860</v>
      </c>
      <c r="O499" s="106"/>
      <c r="P499" s="106">
        <f t="shared" si="544"/>
        <v>1860</v>
      </c>
      <c r="Q499" s="109"/>
      <c r="R499" s="106">
        <f t="shared" si="529"/>
        <v>1860</v>
      </c>
      <c r="S499" s="109"/>
      <c r="T499" s="106">
        <f t="shared" si="530"/>
        <v>1860</v>
      </c>
      <c r="U499" s="109"/>
      <c r="V499" s="106">
        <f t="shared" si="531"/>
        <v>1860</v>
      </c>
      <c r="W499" s="109"/>
      <c r="X499" s="106">
        <f t="shared" si="532"/>
        <v>1860</v>
      </c>
      <c r="Y499" s="109"/>
      <c r="Z499" s="106">
        <f t="shared" si="533"/>
        <v>1860</v>
      </c>
      <c r="AA499" s="109"/>
      <c r="AB499" s="106">
        <f t="shared" si="534"/>
        <v>1860</v>
      </c>
      <c r="AC499" s="109"/>
      <c r="AD499" s="106">
        <f t="shared" si="535"/>
        <v>1860</v>
      </c>
      <c r="AE499" s="109"/>
      <c r="AF499" s="106">
        <f t="shared" si="536"/>
        <v>1860</v>
      </c>
      <c r="AG499" s="147"/>
      <c r="AH499" s="106">
        <f t="shared" si="537"/>
        <v>1860</v>
      </c>
      <c r="AI499" s="109"/>
      <c r="AJ499" s="106">
        <f t="shared" si="538"/>
        <v>1860</v>
      </c>
      <c r="AK499" s="109">
        <v>-380</v>
      </c>
      <c r="AL499" s="106">
        <f t="shared" si="539"/>
        <v>1480</v>
      </c>
      <c r="AM499" s="109">
        <v>-280</v>
      </c>
      <c r="AN499" s="106">
        <f t="shared" si="540"/>
        <v>1200</v>
      </c>
      <c r="AO499" s="106">
        <v>1634</v>
      </c>
      <c r="AP499" s="113">
        <v>1184</v>
      </c>
      <c r="AQ499" s="248">
        <v>1300</v>
      </c>
      <c r="AR499" s="277"/>
      <c r="AS499" s="244">
        <f t="shared" si="506"/>
        <v>1300</v>
      </c>
      <c r="AT499" s="103"/>
      <c r="AU499" s="103"/>
      <c r="AV499" s="103"/>
      <c r="AX499" s="15">
        <f t="shared" si="524"/>
        <v>1860</v>
      </c>
    </row>
    <row r="500" spans="1:50" ht="12.75" hidden="1">
      <c r="A500" s="21"/>
      <c r="B500" s="27">
        <v>4210</v>
      </c>
      <c r="C500" s="18" t="s">
        <v>14</v>
      </c>
      <c r="D500" s="104">
        <f>3475+190</f>
        <v>3665</v>
      </c>
      <c r="E500" s="106"/>
      <c r="F500" s="106">
        <f t="shared" si="541"/>
        <v>3665</v>
      </c>
      <c r="G500" s="109"/>
      <c r="H500" s="106">
        <f t="shared" si="542"/>
        <v>3665</v>
      </c>
      <c r="I500" s="109"/>
      <c r="J500" s="106">
        <f t="shared" si="543"/>
        <v>3665</v>
      </c>
      <c r="K500" s="110"/>
      <c r="L500" s="106">
        <f t="shared" si="528"/>
        <v>3665</v>
      </c>
      <c r="M500" s="109"/>
      <c r="N500" s="106">
        <f t="shared" si="544"/>
        <v>3665</v>
      </c>
      <c r="O500" s="106"/>
      <c r="P500" s="106">
        <f t="shared" si="544"/>
        <v>3665</v>
      </c>
      <c r="Q500" s="109"/>
      <c r="R500" s="106">
        <f t="shared" si="529"/>
        <v>3665</v>
      </c>
      <c r="S500" s="109"/>
      <c r="T500" s="106">
        <f t="shared" si="530"/>
        <v>3665</v>
      </c>
      <c r="U500" s="109"/>
      <c r="V500" s="106">
        <f t="shared" si="531"/>
        <v>3665</v>
      </c>
      <c r="W500" s="109"/>
      <c r="X500" s="106">
        <f t="shared" si="532"/>
        <v>3665</v>
      </c>
      <c r="Y500" s="109"/>
      <c r="Z500" s="106">
        <f t="shared" si="533"/>
        <v>3665</v>
      </c>
      <c r="AA500" s="109"/>
      <c r="AB500" s="106">
        <f t="shared" si="534"/>
        <v>3665</v>
      </c>
      <c r="AC500" s="109"/>
      <c r="AD500" s="106">
        <f t="shared" si="535"/>
        <v>3665</v>
      </c>
      <c r="AE500" s="109"/>
      <c r="AF500" s="106">
        <f t="shared" si="536"/>
        <v>3665</v>
      </c>
      <c r="AG500" s="147"/>
      <c r="AH500" s="106">
        <f t="shared" si="537"/>
        <v>3665</v>
      </c>
      <c r="AI500" s="109"/>
      <c r="AJ500" s="106">
        <f t="shared" si="538"/>
        <v>3665</v>
      </c>
      <c r="AK500" s="109">
        <v>-2765</v>
      </c>
      <c r="AL500" s="106">
        <f t="shared" si="539"/>
        <v>900</v>
      </c>
      <c r="AM500" s="109"/>
      <c r="AN500" s="106">
        <f t="shared" si="540"/>
        <v>900</v>
      </c>
      <c r="AO500" s="106">
        <v>11178</v>
      </c>
      <c r="AP500" s="113">
        <v>893</v>
      </c>
      <c r="AQ500" s="248">
        <v>2000</v>
      </c>
      <c r="AR500" s="277"/>
      <c r="AS500" s="244">
        <f t="shared" si="506"/>
        <v>2000</v>
      </c>
      <c r="AT500" s="103"/>
      <c r="AU500" s="103"/>
      <c r="AV500" s="103"/>
      <c r="AX500" s="15">
        <f t="shared" si="524"/>
        <v>3665</v>
      </c>
    </row>
    <row r="501" spans="1:50" ht="12.75" hidden="1">
      <c r="A501" s="21"/>
      <c r="B501" s="27">
        <v>4300</v>
      </c>
      <c r="C501" s="18" t="s">
        <v>15</v>
      </c>
      <c r="D501" s="104">
        <v>9662</v>
      </c>
      <c r="E501" s="106"/>
      <c r="F501" s="106">
        <f t="shared" si="541"/>
        <v>9662</v>
      </c>
      <c r="G501" s="109">
        <v>3000</v>
      </c>
      <c r="H501" s="106">
        <f t="shared" si="542"/>
        <v>12662</v>
      </c>
      <c r="I501" s="109"/>
      <c r="J501" s="106">
        <f t="shared" si="543"/>
        <v>12662</v>
      </c>
      <c r="K501" s="110"/>
      <c r="L501" s="106">
        <f t="shared" si="528"/>
        <v>12662</v>
      </c>
      <c r="M501" s="109"/>
      <c r="N501" s="106">
        <f t="shared" si="544"/>
        <v>12662</v>
      </c>
      <c r="O501" s="106"/>
      <c r="P501" s="106">
        <f t="shared" si="544"/>
        <v>12662</v>
      </c>
      <c r="Q501" s="109"/>
      <c r="R501" s="106">
        <f t="shared" si="529"/>
        <v>12662</v>
      </c>
      <c r="S501" s="109"/>
      <c r="T501" s="106">
        <f t="shared" si="530"/>
        <v>12662</v>
      </c>
      <c r="U501" s="109"/>
      <c r="V501" s="106">
        <f t="shared" si="531"/>
        <v>12662</v>
      </c>
      <c r="W501" s="109"/>
      <c r="X501" s="106">
        <f t="shared" si="532"/>
        <v>12662</v>
      </c>
      <c r="Y501" s="109"/>
      <c r="Z501" s="106">
        <f t="shared" si="533"/>
        <v>12662</v>
      </c>
      <c r="AA501" s="109"/>
      <c r="AB501" s="106">
        <f t="shared" si="534"/>
        <v>12662</v>
      </c>
      <c r="AC501" s="109"/>
      <c r="AD501" s="106">
        <f t="shared" si="535"/>
        <v>12662</v>
      </c>
      <c r="AE501" s="109"/>
      <c r="AF501" s="106">
        <f t="shared" si="536"/>
        <v>12662</v>
      </c>
      <c r="AG501" s="147"/>
      <c r="AH501" s="106">
        <f t="shared" si="537"/>
        <v>12662</v>
      </c>
      <c r="AI501" s="109"/>
      <c r="AJ501" s="106">
        <f t="shared" si="538"/>
        <v>12662</v>
      </c>
      <c r="AK501" s="109">
        <v>-4162</v>
      </c>
      <c r="AL501" s="106">
        <f t="shared" si="539"/>
        <v>8500</v>
      </c>
      <c r="AM501" s="109"/>
      <c r="AN501" s="106">
        <f t="shared" si="540"/>
        <v>8500</v>
      </c>
      <c r="AO501" s="106">
        <v>13862</v>
      </c>
      <c r="AP501" s="113">
        <v>8134</v>
      </c>
      <c r="AQ501" s="248">
        <v>10500</v>
      </c>
      <c r="AR501" s="277"/>
      <c r="AS501" s="244">
        <f t="shared" si="506"/>
        <v>10500</v>
      </c>
      <c r="AT501" s="103"/>
      <c r="AU501" s="103"/>
      <c r="AV501" s="103"/>
      <c r="AX501" s="15">
        <f t="shared" si="524"/>
        <v>12662</v>
      </c>
    </row>
    <row r="502" spans="1:50" ht="12.75" hidden="1">
      <c r="A502" s="21"/>
      <c r="B502" s="27">
        <v>4410</v>
      </c>
      <c r="C502" s="18" t="s">
        <v>48</v>
      </c>
      <c r="D502" s="104">
        <v>644</v>
      </c>
      <c r="E502" s="106"/>
      <c r="F502" s="106">
        <f t="shared" si="541"/>
        <v>644</v>
      </c>
      <c r="G502" s="109"/>
      <c r="H502" s="106">
        <f t="shared" si="542"/>
        <v>644</v>
      </c>
      <c r="I502" s="109"/>
      <c r="J502" s="106">
        <f t="shared" si="543"/>
        <v>644</v>
      </c>
      <c r="K502" s="110"/>
      <c r="L502" s="106">
        <f t="shared" si="528"/>
        <v>644</v>
      </c>
      <c r="M502" s="109"/>
      <c r="N502" s="106">
        <f t="shared" si="544"/>
        <v>644</v>
      </c>
      <c r="O502" s="106"/>
      <c r="P502" s="106">
        <f t="shared" si="544"/>
        <v>644</v>
      </c>
      <c r="Q502" s="109"/>
      <c r="R502" s="106">
        <f t="shared" si="529"/>
        <v>644</v>
      </c>
      <c r="S502" s="109"/>
      <c r="T502" s="106">
        <f t="shared" si="530"/>
        <v>644</v>
      </c>
      <c r="U502" s="109"/>
      <c r="V502" s="106">
        <f t="shared" si="531"/>
        <v>644</v>
      </c>
      <c r="W502" s="109"/>
      <c r="X502" s="106">
        <f t="shared" si="532"/>
        <v>644</v>
      </c>
      <c r="Y502" s="109"/>
      <c r="Z502" s="106">
        <f t="shared" si="533"/>
        <v>644</v>
      </c>
      <c r="AA502" s="109"/>
      <c r="AB502" s="106">
        <f t="shared" si="534"/>
        <v>644</v>
      </c>
      <c r="AC502" s="109"/>
      <c r="AD502" s="106">
        <f t="shared" si="535"/>
        <v>644</v>
      </c>
      <c r="AE502" s="109"/>
      <c r="AF502" s="106">
        <f t="shared" si="536"/>
        <v>644</v>
      </c>
      <c r="AG502" s="147"/>
      <c r="AH502" s="106">
        <f t="shared" si="537"/>
        <v>644</v>
      </c>
      <c r="AI502" s="109"/>
      <c r="AJ502" s="106">
        <f t="shared" si="538"/>
        <v>644</v>
      </c>
      <c r="AK502" s="109">
        <v>-444</v>
      </c>
      <c r="AL502" s="106">
        <f t="shared" si="539"/>
        <v>200</v>
      </c>
      <c r="AM502" s="109">
        <v>-70</v>
      </c>
      <c r="AN502" s="106">
        <f t="shared" si="540"/>
        <v>130</v>
      </c>
      <c r="AO502" s="106">
        <v>144</v>
      </c>
      <c r="AP502" s="113">
        <v>128</v>
      </c>
      <c r="AQ502" s="248">
        <v>400</v>
      </c>
      <c r="AR502" s="277"/>
      <c r="AS502" s="244">
        <f t="shared" si="506"/>
        <v>400</v>
      </c>
      <c r="AT502" s="103"/>
      <c r="AU502" s="103"/>
      <c r="AV502" s="103"/>
      <c r="AX502" s="15">
        <f t="shared" si="524"/>
        <v>644</v>
      </c>
    </row>
    <row r="503" spans="1:50" ht="12.75" hidden="1">
      <c r="A503" s="21"/>
      <c r="B503" s="27">
        <v>4440</v>
      </c>
      <c r="C503" s="18" t="s">
        <v>50</v>
      </c>
      <c r="D503" s="104">
        <v>2856</v>
      </c>
      <c r="E503" s="106"/>
      <c r="F503" s="106">
        <f t="shared" si="541"/>
        <v>2856</v>
      </c>
      <c r="G503" s="109"/>
      <c r="H503" s="106">
        <f t="shared" si="542"/>
        <v>2856</v>
      </c>
      <c r="I503" s="109"/>
      <c r="J503" s="106">
        <f t="shared" si="543"/>
        <v>2856</v>
      </c>
      <c r="K503" s="110"/>
      <c r="L503" s="106">
        <f t="shared" si="528"/>
        <v>2856</v>
      </c>
      <c r="M503" s="109"/>
      <c r="N503" s="106">
        <f t="shared" si="544"/>
        <v>2856</v>
      </c>
      <c r="O503" s="106"/>
      <c r="P503" s="106">
        <f t="shared" si="544"/>
        <v>2856</v>
      </c>
      <c r="Q503" s="109"/>
      <c r="R503" s="106">
        <f t="shared" si="529"/>
        <v>2856</v>
      </c>
      <c r="S503" s="109"/>
      <c r="T503" s="106">
        <f t="shared" si="530"/>
        <v>2856</v>
      </c>
      <c r="U503" s="109"/>
      <c r="V503" s="106">
        <f t="shared" si="531"/>
        <v>2856</v>
      </c>
      <c r="W503" s="109"/>
      <c r="X503" s="106">
        <f t="shared" si="532"/>
        <v>2856</v>
      </c>
      <c r="Y503" s="109"/>
      <c r="Z503" s="106">
        <f t="shared" si="533"/>
        <v>2856</v>
      </c>
      <c r="AA503" s="109"/>
      <c r="AB503" s="106">
        <f t="shared" si="534"/>
        <v>2856</v>
      </c>
      <c r="AC503" s="109"/>
      <c r="AD503" s="106">
        <f t="shared" si="535"/>
        <v>2856</v>
      </c>
      <c r="AE503" s="109"/>
      <c r="AF503" s="106">
        <f t="shared" si="536"/>
        <v>2856</v>
      </c>
      <c r="AG503" s="147"/>
      <c r="AH503" s="106">
        <f t="shared" si="537"/>
        <v>2856</v>
      </c>
      <c r="AI503" s="109"/>
      <c r="AJ503" s="106">
        <f t="shared" si="538"/>
        <v>2856</v>
      </c>
      <c r="AK503" s="109"/>
      <c r="AL503" s="106">
        <f t="shared" si="539"/>
        <v>2856</v>
      </c>
      <c r="AM503" s="109"/>
      <c r="AN503" s="106">
        <f t="shared" si="540"/>
        <v>2856</v>
      </c>
      <c r="AO503" s="106">
        <f>AM503+AN503</f>
        <v>2856</v>
      </c>
      <c r="AP503" s="113">
        <v>2251</v>
      </c>
      <c r="AQ503" s="248">
        <v>3000</v>
      </c>
      <c r="AR503" s="277"/>
      <c r="AS503" s="244">
        <f t="shared" si="506"/>
        <v>3000</v>
      </c>
      <c r="AT503" s="103"/>
      <c r="AU503" s="103"/>
      <c r="AV503" s="103"/>
      <c r="AX503" s="15">
        <f t="shared" si="524"/>
        <v>2856</v>
      </c>
    </row>
    <row r="504" spans="1:50" ht="25.5" hidden="1">
      <c r="A504" s="21"/>
      <c r="B504" s="27">
        <v>4700</v>
      </c>
      <c r="C504" s="18" t="s">
        <v>51</v>
      </c>
      <c r="D504" s="104"/>
      <c r="E504" s="106"/>
      <c r="F504" s="106"/>
      <c r="G504" s="109">
        <v>1000</v>
      </c>
      <c r="H504" s="106">
        <f t="shared" si="542"/>
        <v>1000</v>
      </c>
      <c r="I504" s="109"/>
      <c r="J504" s="106">
        <f t="shared" si="543"/>
        <v>1000</v>
      </c>
      <c r="K504" s="110"/>
      <c r="L504" s="106">
        <f t="shared" si="528"/>
        <v>1000</v>
      </c>
      <c r="M504" s="109"/>
      <c r="N504" s="106">
        <f t="shared" si="544"/>
        <v>1000</v>
      </c>
      <c r="O504" s="106"/>
      <c r="P504" s="106">
        <f t="shared" si="544"/>
        <v>1000</v>
      </c>
      <c r="Q504" s="109"/>
      <c r="R504" s="106">
        <f t="shared" si="529"/>
        <v>1000</v>
      </c>
      <c r="S504" s="109"/>
      <c r="T504" s="106">
        <f t="shared" si="530"/>
        <v>1000</v>
      </c>
      <c r="U504" s="109"/>
      <c r="V504" s="106">
        <f t="shared" si="531"/>
        <v>1000</v>
      </c>
      <c r="W504" s="109"/>
      <c r="X504" s="106">
        <f t="shared" si="532"/>
        <v>1000</v>
      </c>
      <c r="Y504" s="109"/>
      <c r="Z504" s="106">
        <f t="shared" si="533"/>
        <v>1000</v>
      </c>
      <c r="AA504" s="109"/>
      <c r="AB504" s="106">
        <f t="shared" si="534"/>
        <v>1000</v>
      </c>
      <c r="AC504" s="109"/>
      <c r="AD504" s="106">
        <f t="shared" si="535"/>
        <v>1000</v>
      </c>
      <c r="AE504" s="109"/>
      <c r="AF504" s="106">
        <f t="shared" si="536"/>
        <v>1000</v>
      </c>
      <c r="AG504" s="147"/>
      <c r="AH504" s="106">
        <f t="shared" si="537"/>
        <v>1000</v>
      </c>
      <c r="AI504" s="109"/>
      <c r="AJ504" s="106">
        <f t="shared" si="538"/>
        <v>1000</v>
      </c>
      <c r="AK504" s="109"/>
      <c r="AL504" s="106">
        <f t="shared" si="539"/>
        <v>1000</v>
      </c>
      <c r="AM504" s="109"/>
      <c r="AN504" s="106">
        <f t="shared" si="540"/>
        <v>1000</v>
      </c>
      <c r="AO504" s="106">
        <f>AM504+AN504</f>
        <v>1000</v>
      </c>
      <c r="AP504" s="113">
        <v>927</v>
      </c>
      <c r="AQ504" s="248">
        <v>1000</v>
      </c>
      <c r="AR504" s="277"/>
      <c r="AS504" s="244">
        <f t="shared" si="506"/>
        <v>1000</v>
      </c>
      <c r="AT504" s="103"/>
      <c r="AU504" s="103"/>
      <c r="AV504" s="103"/>
      <c r="AX504" s="15">
        <f t="shared" si="524"/>
        <v>1000</v>
      </c>
    </row>
    <row r="505" spans="1:50" ht="25.5" hidden="1">
      <c r="A505" s="21"/>
      <c r="B505" s="27">
        <v>4740</v>
      </c>
      <c r="C505" s="18" t="s">
        <v>52</v>
      </c>
      <c r="D505" s="104"/>
      <c r="E505" s="106"/>
      <c r="F505" s="106"/>
      <c r="G505" s="109">
        <v>600</v>
      </c>
      <c r="H505" s="106">
        <f t="shared" si="542"/>
        <v>600</v>
      </c>
      <c r="I505" s="109"/>
      <c r="J505" s="106">
        <f t="shared" si="543"/>
        <v>600</v>
      </c>
      <c r="K505" s="110"/>
      <c r="L505" s="106">
        <f t="shared" si="528"/>
        <v>600</v>
      </c>
      <c r="M505" s="109"/>
      <c r="N505" s="106">
        <f t="shared" si="544"/>
        <v>600</v>
      </c>
      <c r="O505" s="106"/>
      <c r="P505" s="106">
        <f t="shared" si="544"/>
        <v>600</v>
      </c>
      <c r="Q505" s="109"/>
      <c r="R505" s="106">
        <f t="shared" si="529"/>
        <v>600</v>
      </c>
      <c r="S505" s="109"/>
      <c r="T505" s="106">
        <f t="shared" si="530"/>
        <v>600</v>
      </c>
      <c r="U505" s="109"/>
      <c r="V505" s="106">
        <f t="shared" si="531"/>
        <v>600</v>
      </c>
      <c r="W505" s="109"/>
      <c r="X505" s="106">
        <f t="shared" si="532"/>
        <v>600</v>
      </c>
      <c r="Y505" s="109"/>
      <c r="Z505" s="106">
        <f t="shared" si="533"/>
        <v>600</v>
      </c>
      <c r="AA505" s="109"/>
      <c r="AB505" s="106">
        <f t="shared" si="534"/>
        <v>600</v>
      </c>
      <c r="AC505" s="109"/>
      <c r="AD505" s="106">
        <f t="shared" si="535"/>
        <v>600</v>
      </c>
      <c r="AE505" s="109"/>
      <c r="AF505" s="106">
        <f t="shared" si="536"/>
        <v>600</v>
      </c>
      <c r="AG505" s="147"/>
      <c r="AH505" s="106">
        <f t="shared" si="537"/>
        <v>600</v>
      </c>
      <c r="AI505" s="109"/>
      <c r="AJ505" s="106">
        <f t="shared" si="538"/>
        <v>600</v>
      </c>
      <c r="AK505" s="109">
        <v>-500</v>
      </c>
      <c r="AL505" s="106">
        <f t="shared" si="539"/>
        <v>100</v>
      </c>
      <c r="AM505" s="109"/>
      <c r="AN505" s="106">
        <f t="shared" si="540"/>
        <v>100</v>
      </c>
      <c r="AO505" s="106">
        <f>AM505+AN505</f>
        <v>100</v>
      </c>
      <c r="AP505" s="113">
        <v>0</v>
      </c>
      <c r="AQ505" s="248">
        <v>100</v>
      </c>
      <c r="AR505" s="277"/>
      <c r="AS505" s="244">
        <f t="shared" si="506"/>
        <v>100</v>
      </c>
      <c r="AT505" s="103"/>
      <c r="AU505" s="103"/>
      <c r="AV505" s="103"/>
      <c r="AX505" s="15">
        <f t="shared" si="524"/>
        <v>600</v>
      </c>
    </row>
    <row r="506" spans="1:50" ht="12.75" hidden="1">
      <c r="A506" s="21"/>
      <c r="B506" s="27">
        <v>4750</v>
      </c>
      <c r="C506" s="18" t="s">
        <v>53</v>
      </c>
      <c r="D506" s="104"/>
      <c r="E506" s="106"/>
      <c r="F506" s="106"/>
      <c r="G506" s="109">
        <v>1000</v>
      </c>
      <c r="H506" s="106">
        <f t="shared" si="542"/>
        <v>1000</v>
      </c>
      <c r="I506" s="109"/>
      <c r="J506" s="106">
        <f t="shared" si="543"/>
        <v>1000</v>
      </c>
      <c r="K506" s="110"/>
      <c r="L506" s="106">
        <f t="shared" si="528"/>
        <v>1000</v>
      </c>
      <c r="M506" s="109"/>
      <c r="N506" s="106">
        <f t="shared" si="544"/>
        <v>1000</v>
      </c>
      <c r="O506" s="106"/>
      <c r="P506" s="106">
        <f t="shared" si="544"/>
        <v>1000</v>
      </c>
      <c r="Q506" s="109"/>
      <c r="R506" s="106">
        <f t="shared" si="529"/>
        <v>1000</v>
      </c>
      <c r="S506" s="109"/>
      <c r="T506" s="106">
        <f t="shared" si="530"/>
        <v>1000</v>
      </c>
      <c r="U506" s="109"/>
      <c r="V506" s="106">
        <f t="shared" si="531"/>
        <v>1000</v>
      </c>
      <c r="W506" s="109"/>
      <c r="X506" s="106">
        <f t="shared" si="532"/>
        <v>1000</v>
      </c>
      <c r="Y506" s="109"/>
      <c r="Z506" s="106">
        <f t="shared" si="533"/>
        <v>1000</v>
      </c>
      <c r="AA506" s="109"/>
      <c r="AB506" s="106">
        <f t="shared" si="534"/>
        <v>1000</v>
      </c>
      <c r="AC506" s="109"/>
      <c r="AD506" s="106">
        <f t="shared" si="535"/>
        <v>1000</v>
      </c>
      <c r="AE506" s="109"/>
      <c r="AF506" s="106">
        <f t="shared" si="536"/>
        <v>1000</v>
      </c>
      <c r="AG506" s="147"/>
      <c r="AH506" s="106">
        <f t="shared" si="537"/>
        <v>1000</v>
      </c>
      <c r="AI506" s="109"/>
      <c r="AJ506" s="106">
        <f t="shared" si="538"/>
        <v>1000</v>
      </c>
      <c r="AK506" s="109">
        <v>-300</v>
      </c>
      <c r="AL506" s="106">
        <f t="shared" si="539"/>
        <v>700</v>
      </c>
      <c r="AM506" s="109"/>
      <c r="AN506" s="106">
        <f t="shared" si="540"/>
        <v>700</v>
      </c>
      <c r="AO506" s="106">
        <f>AM506+AN506</f>
        <v>700</v>
      </c>
      <c r="AP506" s="113">
        <v>682</v>
      </c>
      <c r="AQ506" s="248">
        <v>700</v>
      </c>
      <c r="AR506" s="277"/>
      <c r="AS506" s="244">
        <f t="shared" si="506"/>
        <v>700</v>
      </c>
      <c r="AT506" s="103"/>
      <c r="AU506" s="103"/>
      <c r="AV506" s="103"/>
      <c r="AX506" s="15">
        <f t="shared" si="524"/>
        <v>1000</v>
      </c>
    </row>
    <row r="507" spans="1:50" ht="38.25" hidden="1">
      <c r="A507" s="31">
        <v>85213</v>
      </c>
      <c r="B507" s="26"/>
      <c r="C507" s="19" t="s">
        <v>117</v>
      </c>
      <c r="D507" s="190">
        <f aca="true" t="shared" si="545" ref="D507:J507">SUM(D508)</f>
        <v>34500</v>
      </c>
      <c r="E507" s="190">
        <f t="shared" si="545"/>
        <v>0</v>
      </c>
      <c r="F507" s="190">
        <f t="shared" si="545"/>
        <v>34500</v>
      </c>
      <c r="G507" s="190">
        <f t="shared" si="545"/>
        <v>2300</v>
      </c>
      <c r="H507" s="190">
        <f t="shared" si="545"/>
        <v>36800</v>
      </c>
      <c r="I507" s="190">
        <f t="shared" si="545"/>
        <v>0</v>
      </c>
      <c r="J507" s="190">
        <f t="shared" si="545"/>
        <v>36800</v>
      </c>
      <c r="K507" s="110"/>
      <c r="L507" s="190">
        <f>SUM(L508)</f>
        <v>36800</v>
      </c>
      <c r="M507" s="109"/>
      <c r="N507" s="190">
        <f>SUM(N508)</f>
        <v>36800</v>
      </c>
      <c r="O507" s="190"/>
      <c r="P507" s="190">
        <f>SUM(P508)</f>
        <v>36800</v>
      </c>
      <c r="Q507" s="109"/>
      <c r="R507" s="190">
        <f>SUM(R508)</f>
        <v>36800</v>
      </c>
      <c r="S507" s="109"/>
      <c r="T507" s="190">
        <f>SUM(T508)</f>
        <v>36800</v>
      </c>
      <c r="U507" s="109"/>
      <c r="V507" s="190">
        <f>SUM(V508)</f>
        <v>36800</v>
      </c>
      <c r="W507" s="109"/>
      <c r="X507" s="190">
        <f>SUM(X508)</f>
        <v>36800</v>
      </c>
      <c r="Y507" s="109"/>
      <c r="Z507" s="190">
        <f>SUM(Z508)</f>
        <v>36800</v>
      </c>
      <c r="AA507" s="109"/>
      <c r="AB507" s="190">
        <f>SUM(AB508)</f>
        <v>36800</v>
      </c>
      <c r="AC507" s="109"/>
      <c r="AD507" s="190">
        <f>SUM(AD508)</f>
        <v>36800</v>
      </c>
      <c r="AE507" s="109"/>
      <c r="AF507" s="190">
        <f>SUM(AF508)</f>
        <v>36800</v>
      </c>
      <c r="AG507" s="147"/>
      <c r="AH507" s="190">
        <f aca="true" t="shared" si="546" ref="AH507:AQ507">SUM(AH508)</f>
        <v>36800</v>
      </c>
      <c r="AI507" s="190">
        <f t="shared" si="546"/>
        <v>0</v>
      </c>
      <c r="AJ507" s="190">
        <f t="shared" si="546"/>
        <v>36800</v>
      </c>
      <c r="AK507" s="190">
        <f t="shared" si="546"/>
        <v>-16913</v>
      </c>
      <c r="AL507" s="190">
        <f t="shared" si="546"/>
        <v>19887</v>
      </c>
      <c r="AM507" s="190">
        <f t="shared" si="546"/>
        <v>0</v>
      </c>
      <c r="AN507" s="190">
        <f t="shared" si="546"/>
        <v>19887</v>
      </c>
      <c r="AO507" s="190">
        <f t="shared" si="546"/>
        <v>19887</v>
      </c>
      <c r="AP507" s="81">
        <f t="shared" si="546"/>
        <v>14972</v>
      </c>
      <c r="AQ507" s="259">
        <f t="shared" si="546"/>
        <v>15000</v>
      </c>
      <c r="AR507" s="283"/>
      <c r="AS507" s="244">
        <f t="shared" si="506"/>
        <v>15000</v>
      </c>
      <c r="AT507" s="103"/>
      <c r="AU507" s="103"/>
      <c r="AV507" s="103"/>
      <c r="AX507" s="15">
        <f t="shared" si="524"/>
        <v>36800</v>
      </c>
    </row>
    <row r="508" spans="1:50" ht="13.5" hidden="1" thickBot="1">
      <c r="A508" s="21"/>
      <c r="B508" s="27">
        <v>4130</v>
      </c>
      <c r="C508" s="18" t="s">
        <v>118</v>
      </c>
      <c r="D508" s="104">
        <v>34500</v>
      </c>
      <c r="E508" s="106"/>
      <c r="F508" s="106">
        <f t="shared" si="541"/>
        <v>34500</v>
      </c>
      <c r="G508" s="109">
        <v>2300</v>
      </c>
      <c r="H508" s="106">
        <f t="shared" si="542"/>
        <v>36800</v>
      </c>
      <c r="I508" s="109"/>
      <c r="J508" s="106">
        <f>I508+H508</f>
        <v>36800</v>
      </c>
      <c r="K508" s="110"/>
      <c r="L508" s="106">
        <f>K508+H508</f>
        <v>36800</v>
      </c>
      <c r="M508" s="109"/>
      <c r="N508" s="106">
        <f>M508+L508</f>
        <v>36800</v>
      </c>
      <c r="O508" s="106"/>
      <c r="P508" s="106">
        <f>O508+N508</f>
        <v>36800</v>
      </c>
      <c r="Q508" s="109"/>
      <c r="R508" s="106">
        <f>Q508+N508</f>
        <v>36800</v>
      </c>
      <c r="S508" s="109"/>
      <c r="T508" s="106">
        <f>S508+P508</f>
        <v>36800</v>
      </c>
      <c r="U508" s="109"/>
      <c r="V508" s="106">
        <f>U508+R508</f>
        <v>36800</v>
      </c>
      <c r="W508" s="109"/>
      <c r="X508" s="106">
        <f>W508+T508</f>
        <v>36800</v>
      </c>
      <c r="Y508" s="109"/>
      <c r="Z508" s="106">
        <f>Y508+V508</f>
        <v>36800</v>
      </c>
      <c r="AA508" s="109"/>
      <c r="AB508" s="106">
        <f>AA508+X508</f>
        <v>36800</v>
      </c>
      <c r="AC508" s="109"/>
      <c r="AD508" s="106">
        <f>AC508+Z508</f>
        <v>36800</v>
      </c>
      <c r="AE508" s="109"/>
      <c r="AF508" s="106">
        <f>AE508+AB508</f>
        <v>36800</v>
      </c>
      <c r="AG508" s="147"/>
      <c r="AH508" s="106">
        <f>AG508+AD508</f>
        <v>36800</v>
      </c>
      <c r="AI508" s="109"/>
      <c r="AJ508" s="106">
        <f>AI508+AF508</f>
        <v>36800</v>
      </c>
      <c r="AK508" s="109">
        <v>-16913</v>
      </c>
      <c r="AL508" s="106">
        <f>AK508+AH508</f>
        <v>19887</v>
      </c>
      <c r="AM508" s="109"/>
      <c r="AN508" s="106">
        <f>AL508+AM508</f>
        <v>19887</v>
      </c>
      <c r="AO508" s="106">
        <f>AM508+AN508</f>
        <v>19887</v>
      </c>
      <c r="AP508" s="113">
        <v>14972</v>
      </c>
      <c r="AQ508" s="248">
        <v>15000</v>
      </c>
      <c r="AR508" s="277"/>
      <c r="AS508" s="244">
        <f t="shared" si="506"/>
        <v>15000</v>
      </c>
      <c r="AT508" s="103"/>
      <c r="AU508" s="103"/>
      <c r="AV508" s="103"/>
      <c r="AX508" s="15">
        <f t="shared" si="524"/>
        <v>36800</v>
      </c>
    </row>
    <row r="509" spans="1:50" ht="26.25" hidden="1" thickBot="1">
      <c r="A509" s="31">
        <v>85214</v>
      </c>
      <c r="B509" s="26"/>
      <c r="C509" s="19" t="s">
        <v>201</v>
      </c>
      <c r="D509" s="190">
        <f aca="true" t="shared" si="547" ref="D509:J509">SUM(D510:D510)</f>
        <v>186500</v>
      </c>
      <c r="E509" s="190">
        <f t="shared" si="547"/>
        <v>0</v>
      </c>
      <c r="F509" s="190">
        <f t="shared" si="547"/>
        <v>186500</v>
      </c>
      <c r="G509" s="190">
        <f t="shared" si="547"/>
        <v>19800</v>
      </c>
      <c r="H509" s="190">
        <f t="shared" si="547"/>
        <v>206300</v>
      </c>
      <c r="I509" s="190">
        <f t="shared" si="547"/>
        <v>0</v>
      </c>
      <c r="J509" s="190">
        <f t="shared" si="547"/>
        <v>206300</v>
      </c>
      <c r="K509" s="110"/>
      <c r="L509" s="190">
        <f>SUM(L510:L510)</f>
        <v>206300</v>
      </c>
      <c r="M509" s="109"/>
      <c r="N509" s="190">
        <f>SUM(N510:N510)</f>
        <v>206300</v>
      </c>
      <c r="O509" s="190"/>
      <c r="P509" s="190">
        <f>SUM(P510:P510)</f>
        <v>206300</v>
      </c>
      <c r="Q509" s="109"/>
      <c r="R509" s="190">
        <f>SUM(R510:R510)</f>
        <v>206300</v>
      </c>
      <c r="S509" s="109"/>
      <c r="T509" s="190">
        <f>SUM(T510:T510)</f>
        <v>206300</v>
      </c>
      <c r="U509" s="109"/>
      <c r="V509" s="190">
        <f>SUM(V510:V510)</f>
        <v>206300</v>
      </c>
      <c r="W509" s="109"/>
      <c r="X509" s="190">
        <f>SUM(X510:X510)</f>
        <v>206300</v>
      </c>
      <c r="Y509" s="109"/>
      <c r="Z509" s="190">
        <f>SUM(Z510:Z510)</f>
        <v>206300</v>
      </c>
      <c r="AA509" s="109"/>
      <c r="AB509" s="190">
        <f>SUM(AB510:AB510)</f>
        <v>206300</v>
      </c>
      <c r="AC509" s="109"/>
      <c r="AD509" s="190">
        <f>SUM(AD510:AD510)</f>
        <v>206300</v>
      </c>
      <c r="AE509" s="109"/>
      <c r="AF509" s="190">
        <f>SUM(AF510:AF510)</f>
        <v>206300</v>
      </c>
      <c r="AG509" s="147"/>
      <c r="AH509" s="190">
        <f aca="true" t="shared" si="548" ref="AH509:AQ509">SUM(AH510:AH510)</f>
        <v>206300</v>
      </c>
      <c r="AI509" s="190">
        <f t="shared" si="548"/>
        <v>0</v>
      </c>
      <c r="AJ509" s="190">
        <f t="shared" si="548"/>
        <v>206300</v>
      </c>
      <c r="AK509" s="190">
        <f t="shared" si="548"/>
        <v>-120296</v>
      </c>
      <c r="AL509" s="190">
        <f t="shared" si="548"/>
        <v>86004</v>
      </c>
      <c r="AM509" s="190">
        <f t="shared" si="548"/>
        <v>0</v>
      </c>
      <c r="AN509" s="190">
        <f t="shared" si="548"/>
        <v>86004</v>
      </c>
      <c r="AO509" s="190">
        <f t="shared" si="548"/>
        <v>86004</v>
      </c>
      <c r="AP509" s="81">
        <f t="shared" si="548"/>
        <v>86003</v>
      </c>
      <c r="AQ509" s="260">
        <f t="shared" si="548"/>
        <v>0</v>
      </c>
      <c r="AR509" s="284"/>
      <c r="AS509" s="244">
        <f t="shared" si="506"/>
        <v>0</v>
      </c>
      <c r="AT509" s="103"/>
      <c r="AU509" s="103"/>
      <c r="AV509" s="103"/>
      <c r="AX509" s="15">
        <f t="shared" si="524"/>
        <v>206300</v>
      </c>
    </row>
    <row r="510" spans="1:50" ht="13.5" hidden="1" thickBot="1">
      <c r="A510" s="66"/>
      <c r="B510" s="56">
        <v>3110</v>
      </c>
      <c r="C510" s="57" t="s">
        <v>91</v>
      </c>
      <c r="D510" s="119">
        <v>186500</v>
      </c>
      <c r="E510" s="120"/>
      <c r="F510" s="120">
        <f t="shared" si="541"/>
        <v>186500</v>
      </c>
      <c r="G510" s="121">
        <v>19800</v>
      </c>
      <c r="H510" s="120">
        <f t="shared" si="542"/>
        <v>206300</v>
      </c>
      <c r="I510" s="121"/>
      <c r="J510" s="120">
        <f>I510+H510</f>
        <v>206300</v>
      </c>
      <c r="K510" s="122"/>
      <c r="L510" s="120">
        <f>K510+H510</f>
        <v>206300</v>
      </c>
      <c r="M510" s="121"/>
      <c r="N510" s="120">
        <f>M510+L510</f>
        <v>206300</v>
      </c>
      <c r="O510" s="120"/>
      <c r="P510" s="120">
        <f>O510+N510</f>
        <v>206300</v>
      </c>
      <c r="Q510" s="121"/>
      <c r="R510" s="120">
        <f>Q510+N510</f>
        <v>206300</v>
      </c>
      <c r="S510" s="121"/>
      <c r="T510" s="120">
        <f>S510+P510</f>
        <v>206300</v>
      </c>
      <c r="U510" s="121"/>
      <c r="V510" s="120">
        <f>U510+R510</f>
        <v>206300</v>
      </c>
      <c r="W510" s="121"/>
      <c r="X510" s="120">
        <f>W510+T510</f>
        <v>206300</v>
      </c>
      <c r="Y510" s="121"/>
      <c r="Z510" s="120">
        <f>Y510+V510</f>
        <v>206300</v>
      </c>
      <c r="AA510" s="121"/>
      <c r="AB510" s="120">
        <f>AA510+X510</f>
        <v>206300</v>
      </c>
      <c r="AC510" s="121"/>
      <c r="AD510" s="120">
        <f>AC510+Z510</f>
        <v>206300</v>
      </c>
      <c r="AE510" s="121"/>
      <c r="AF510" s="120">
        <f>AE510+AB510</f>
        <v>206300</v>
      </c>
      <c r="AG510" s="224"/>
      <c r="AH510" s="120">
        <f>AG510+AD510</f>
        <v>206300</v>
      </c>
      <c r="AI510" s="121"/>
      <c r="AJ510" s="120">
        <f>AI510+AF510</f>
        <v>206300</v>
      </c>
      <c r="AK510" s="121">
        <v>-120296</v>
      </c>
      <c r="AL510" s="120">
        <f>AK510+AH510</f>
        <v>86004</v>
      </c>
      <c r="AM510" s="121"/>
      <c r="AN510" s="120">
        <f>AL510+AM510</f>
        <v>86004</v>
      </c>
      <c r="AO510" s="120">
        <f>AM510+AN510</f>
        <v>86004</v>
      </c>
      <c r="AP510" s="139">
        <v>86003</v>
      </c>
      <c r="AQ510" s="261">
        <v>0</v>
      </c>
      <c r="AR510" s="285"/>
      <c r="AS510" s="244">
        <f t="shared" si="506"/>
        <v>0</v>
      </c>
      <c r="AT510" s="103"/>
      <c r="AU510" s="103"/>
      <c r="AV510" s="103"/>
      <c r="AX510" s="15">
        <f t="shared" si="524"/>
        <v>206300</v>
      </c>
    </row>
    <row r="511" spans="1:52" ht="13.5" thickBot="1">
      <c r="A511" s="286" t="s">
        <v>120</v>
      </c>
      <c r="B511" s="287"/>
      <c r="C511" s="287"/>
      <c r="D511" s="225">
        <f aca="true" t="shared" si="549" ref="D511:N511">SUM(D468,D9)</f>
        <v>33248124.808</v>
      </c>
      <c r="E511" s="225">
        <f t="shared" si="549"/>
        <v>0</v>
      </c>
      <c r="F511" s="225">
        <f t="shared" si="549"/>
        <v>33248124.808</v>
      </c>
      <c r="G511" s="225">
        <f t="shared" si="549"/>
        <v>-736134</v>
      </c>
      <c r="H511" s="225">
        <f t="shared" si="549"/>
        <v>32511990.808</v>
      </c>
      <c r="I511" s="225">
        <f t="shared" si="549"/>
        <v>0</v>
      </c>
      <c r="J511" s="225">
        <f t="shared" si="549"/>
        <v>32511990.808</v>
      </c>
      <c r="K511" s="225">
        <f t="shared" si="549"/>
        <v>0</v>
      </c>
      <c r="L511" s="225">
        <f t="shared" si="549"/>
        <v>32511990.808</v>
      </c>
      <c r="M511" s="225">
        <f t="shared" si="549"/>
        <v>-212969</v>
      </c>
      <c r="N511" s="225">
        <f t="shared" si="549"/>
        <v>32299021.808</v>
      </c>
      <c r="O511" s="225"/>
      <c r="P511" s="225">
        <f aca="true" t="shared" si="550" ref="P511:AS511">SUM(P468,P9)</f>
        <v>32299021.808</v>
      </c>
      <c r="Q511" s="225">
        <f t="shared" si="550"/>
        <v>364000</v>
      </c>
      <c r="R511" s="225">
        <f t="shared" si="550"/>
        <v>32663021.808</v>
      </c>
      <c r="S511" s="225">
        <f t="shared" si="550"/>
        <v>12177</v>
      </c>
      <c r="T511" s="225">
        <f t="shared" si="550"/>
        <v>32675198.808</v>
      </c>
      <c r="U511" s="225">
        <f t="shared" si="550"/>
        <v>1038224</v>
      </c>
      <c r="V511" s="225">
        <f t="shared" si="550"/>
        <v>33713422.808</v>
      </c>
      <c r="W511" s="225">
        <f t="shared" si="550"/>
        <v>0</v>
      </c>
      <c r="X511" s="225">
        <f t="shared" si="550"/>
        <v>34613422.808</v>
      </c>
      <c r="Y511" s="225">
        <f t="shared" si="550"/>
        <v>9765</v>
      </c>
      <c r="Z511" s="225">
        <f t="shared" si="550"/>
        <v>34623187.808</v>
      </c>
      <c r="AA511" s="225">
        <f t="shared" si="550"/>
        <v>26990</v>
      </c>
      <c r="AB511" s="225">
        <f t="shared" si="550"/>
        <v>34650177.808</v>
      </c>
      <c r="AC511" s="225">
        <f t="shared" si="550"/>
        <v>0</v>
      </c>
      <c r="AD511" s="225">
        <f t="shared" si="550"/>
        <v>34650177.808</v>
      </c>
      <c r="AE511" s="225">
        <f t="shared" si="550"/>
        <v>20519</v>
      </c>
      <c r="AF511" s="225">
        <f t="shared" si="550"/>
        <v>34670696.808</v>
      </c>
      <c r="AG511" s="226">
        <f t="shared" si="550"/>
        <v>-86700</v>
      </c>
      <c r="AH511" s="225">
        <f t="shared" si="550"/>
        <v>34583996.808</v>
      </c>
      <c r="AI511" s="225">
        <f t="shared" si="550"/>
        <v>0</v>
      </c>
      <c r="AJ511" s="225">
        <f t="shared" si="550"/>
        <v>34583996.808</v>
      </c>
      <c r="AK511" s="225">
        <f t="shared" si="550"/>
        <v>-451470</v>
      </c>
      <c r="AL511" s="225">
        <f t="shared" si="550"/>
        <v>34132526.808</v>
      </c>
      <c r="AM511" s="225">
        <f t="shared" si="550"/>
        <v>58725</v>
      </c>
      <c r="AN511" s="225">
        <f t="shared" si="550"/>
        <v>34194481.808</v>
      </c>
      <c r="AO511" s="225">
        <f t="shared" si="550"/>
        <v>24279095</v>
      </c>
      <c r="AP511" s="227">
        <f t="shared" si="550"/>
        <v>21208297.59</v>
      </c>
      <c r="AQ511" s="262">
        <f t="shared" si="550"/>
        <v>35627289</v>
      </c>
      <c r="AR511" s="85">
        <f t="shared" si="550"/>
        <v>0</v>
      </c>
      <c r="AS511" s="273">
        <f t="shared" si="550"/>
        <v>35627289</v>
      </c>
      <c r="AT511" s="103"/>
      <c r="AU511" s="103"/>
      <c r="AV511" s="103"/>
      <c r="AW511" s="138"/>
      <c r="AX511" s="15"/>
      <c r="AZ511" s="15"/>
    </row>
    <row r="512" spans="3:33" ht="12.75">
      <c r="C512" s="3"/>
      <c r="D512" s="3"/>
      <c r="AG512" s="138"/>
    </row>
    <row r="513" spans="3:50" ht="12.75">
      <c r="C513" s="3"/>
      <c r="D513" s="3"/>
      <c r="N513" s="15">
        <f>N17+N28+N33+N123+N198+N311+N312+N370+N421+N431+N436+N454</f>
        <v>1337089</v>
      </c>
      <c r="P513" s="15">
        <f>P17+P28+P33+P123+P198+P311+P312+P370+P421+P431+P436+P454</f>
        <v>1337089</v>
      </c>
      <c r="R513" s="15">
        <f>R17+R28+R33+R123+R198+R311+R312+R370+R421+R431+R436+R454</f>
        <v>1337089</v>
      </c>
      <c r="S513" t="s">
        <v>158</v>
      </c>
      <c r="T513" s="15">
        <f>T17+T28+T33+T123+T198+T311+T312+T370+T421+T431+T436+T454</f>
        <v>1337089</v>
      </c>
      <c r="U513" s="15"/>
      <c r="V513" s="15"/>
      <c r="W513" s="15"/>
      <c r="X513" s="15"/>
      <c r="Y513" s="15"/>
      <c r="Z513" s="15"/>
      <c r="AA513" s="15"/>
      <c r="AB513" s="15"/>
      <c r="AC513" s="15"/>
      <c r="AG513" s="146"/>
      <c r="AI513" s="15"/>
      <c r="AK513" s="15"/>
      <c r="AP513" t="s">
        <v>204</v>
      </c>
      <c r="AQ513" s="15"/>
      <c r="AR513" s="15"/>
      <c r="AW513" s="15"/>
      <c r="AX513" s="15"/>
    </row>
    <row r="514" spans="1:44" ht="12.75">
      <c r="A514" s="74"/>
      <c r="B514" s="132"/>
      <c r="C514" s="145" t="s">
        <v>180</v>
      </c>
      <c r="D514" s="132"/>
      <c r="E514" s="132"/>
      <c r="F514" s="132"/>
      <c r="G514" s="132" t="s">
        <v>159</v>
      </c>
      <c r="H514" s="132"/>
      <c r="I514" s="133"/>
      <c r="AG514" s="15"/>
      <c r="AP514" t="s">
        <v>205</v>
      </c>
      <c r="AQ514" s="15"/>
      <c r="AR514" s="15"/>
    </row>
    <row r="515" spans="1:21" ht="12.75">
      <c r="A515" s="132"/>
      <c r="B515" s="132"/>
      <c r="C515" s="145"/>
      <c r="D515" s="132"/>
      <c r="E515" s="132"/>
      <c r="F515" s="132"/>
      <c r="G515" s="132"/>
      <c r="H515" s="132"/>
      <c r="I515" s="133"/>
      <c r="U515" s="15"/>
    </row>
    <row r="516" spans="1:44" ht="12.75">
      <c r="A516" s="132"/>
      <c r="B516" s="132"/>
      <c r="C516" s="145" t="s">
        <v>181</v>
      </c>
      <c r="D516" s="132"/>
      <c r="E516" s="132"/>
      <c r="F516" s="132"/>
      <c r="G516" s="132" t="s">
        <v>160</v>
      </c>
      <c r="H516" s="132"/>
      <c r="I516" s="133"/>
      <c r="U516" s="15"/>
      <c r="AQ516" s="15"/>
      <c r="AR516" s="15"/>
    </row>
    <row r="517" spans="3:4" ht="12.75">
      <c r="C517" s="132"/>
      <c r="D517" s="4"/>
    </row>
    <row r="518" spans="3:21" ht="12.75">
      <c r="C518" s="14"/>
      <c r="D518"/>
      <c r="U518" s="15"/>
    </row>
    <row r="519" spans="2:45" ht="12.75">
      <c r="B519" s="74"/>
      <c r="C519"/>
      <c r="D519"/>
      <c r="AN519">
        <v>2009</v>
      </c>
      <c r="AQ519">
        <v>2010</v>
      </c>
      <c r="AS519" t="s">
        <v>209</v>
      </c>
    </row>
    <row r="520" spans="2:45" ht="12.75">
      <c r="B520" s="74"/>
      <c r="C520" s="147" t="s">
        <v>207</v>
      </c>
      <c r="D520" s="147">
        <v>24306000</v>
      </c>
      <c r="AN520" s="109">
        <v>24306000</v>
      </c>
      <c r="AO520" s="109"/>
      <c r="AP520" s="109"/>
      <c r="AQ520" s="109">
        <v>25338000</v>
      </c>
      <c r="AR520" s="109"/>
      <c r="AS520" s="109">
        <f aca="true" t="shared" si="551" ref="AS520:AS525">AQ520-AN520</f>
        <v>1032000</v>
      </c>
    </row>
    <row r="521" spans="2:45" ht="12.75">
      <c r="B521" s="74"/>
      <c r="C521" s="147" t="s">
        <v>208</v>
      </c>
      <c r="D521" s="147">
        <v>-34098125</v>
      </c>
      <c r="AN521" s="109">
        <v>-34098125</v>
      </c>
      <c r="AO521" s="109"/>
      <c r="AP521" s="109"/>
      <c r="AQ521" s="109">
        <f>-AQ511</f>
        <v>-35627289</v>
      </c>
      <c r="AR521" s="109"/>
      <c r="AS521" s="109">
        <f t="shared" si="551"/>
        <v>-1529164</v>
      </c>
    </row>
    <row r="522" spans="2:45" ht="12.75">
      <c r="B522" s="74"/>
      <c r="C522" s="171" t="s">
        <v>205</v>
      </c>
      <c r="D522" s="171">
        <f>SUM(D520:D521)</f>
        <v>-9792125</v>
      </c>
      <c r="AN522" s="121">
        <f>AN520+AN521</f>
        <v>-9792125</v>
      </c>
      <c r="AO522" s="121"/>
      <c r="AP522" s="121"/>
      <c r="AQ522" s="173">
        <f>AQ520+AQ521</f>
        <v>-10289289</v>
      </c>
      <c r="AR522" s="173"/>
      <c r="AS522" s="121">
        <f t="shared" si="551"/>
        <v>-497164</v>
      </c>
    </row>
    <row r="523" spans="2:45" ht="12.75">
      <c r="B523" s="74"/>
      <c r="C523" s="110" t="s">
        <v>210</v>
      </c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47">
        <v>1287876</v>
      </c>
      <c r="AO523" s="110"/>
      <c r="AP523" s="110"/>
      <c r="AQ523" s="109">
        <v>1800711</v>
      </c>
      <c r="AR523" s="109"/>
      <c r="AS523" s="109">
        <f t="shared" si="551"/>
        <v>512835</v>
      </c>
    </row>
    <row r="524" spans="2:45" ht="12.75">
      <c r="B524" s="74"/>
      <c r="C524" s="110" t="s">
        <v>211</v>
      </c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72">
        <v>500000</v>
      </c>
      <c r="AO524" s="110"/>
      <c r="AP524" s="110"/>
      <c r="AQ524" s="109">
        <v>500000</v>
      </c>
      <c r="AR524" s="109"/>
      <c r="AS524" s="109">
        <f t="shared" si="551"/>
        <v>0</v>
      </c>
    </row>
    <row r="525" spans="2:45" ht="12.75">
      <c r="B525" s="74"/>
      <c r="C525" s="110" t="s">
        <v>212</v>
      </c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47">
        <f>AN522-AN523</f>
        <v>-11080001</v>
      </c>
      <c r="AO525" s="110"/>
      <c r="AP525" s="110"/>
      <c r="AQ525" s="109">
        <f>AQ522-AQ523</f>
        <v>-12090000</v>
      </c>
      <c r="AR525" s="109"/>
      <c r="AS525" s="109">
        <f t="shared" si="551"/>
        <v>-1009999</v>
      </c>
    </row>
    <row r="526" spans="2:45" ht="12.75">
      <c r="B526" s="74"/>
      <c r="C526" s="110" t="s">
        <v>214</v>
      </c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09">
        <v>324000</v>
      </c>
      <c r="AR526" s="109"/>
      <c r="AS526" s="110"/>
    </row>
    <row r="527" spans="2:45" ht="12.75">
      <c r="B527" s="74"/>
      <c r="C527" s="110" t="s">
        <v>215</v>
      </c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09">
        <f>AQ525+AQ526</f>
        <v>-11766000</v>
      </c>
      <c r="AR527" s="109"/>
      <c r="AS527" s="110"/>
    </row>
    <row r="528" spans="2:44" ht="12.75">
      <c r="B528" s="74"/>
      <c r="C528" s="110" t="s">
        <v>216</v>
      </c>
      <c r="D528"/>
      <c r="AQ528" s="15">
        <f>AQ527-AQ524</f>
        <v>-12266000</v>
      </c>
      <c r="AR528" s="15"/>
    </row>
    <row r="529" spans="2:44" ht="12.75">
      <c r="B529" s="74"/>
      <c r="C529"/>
      <c r="D529"/>
      <c r="AQ529" s="15">
        <f>AQ528+12266000</f>
        <v>0</v>
      </c>
      <c r="AR529" s="15"/>
    </row>
    <row r="911" ht="12.75"/>
    <row r="912" ht="12.75"/>
    <row r="913" ht="12.75"/>
    <row r="914" ht="12.75"/>
    <row r="942" ht="12.75"/>
    <row r="943" ht="12.75"/>
    <row r="944" ht="12.75"/>
    <row r="945" ht="12.75"/>
    <row r="946" ht="12.75"/>
    <row r="947" ht="12.75"/>
    <row r="948" ht="12.75"/>
    <row r="965" ht="12.75"/>
    <row r="966" ht="12.75"/>
    <row r="967" ht="12.75"/>
    <row r="968" ht="12.75"/>
    <row r="969" ht="12.75"/>
    <row r="970" ht="12.75"/>
    <row r="971" ht="12.75"/>
  </sheetData>
  <sheetProtection/>
  <mergeCells count="2">
    <mergeCell ref="A511:C511"/>
    <mergeCell ref="A1:AS1"/>
  </mergeCells>
  <printOptions/>
  <pageMargins left="0.984251968503937" right="0.15748031496062992" top="0.8661417322834646" bottom="0.6692913385826772" header="0.5118110236220472" footer="0.07874015748031496"/>
  <pageSetup firstPageNumber="8" useFirstPageNumber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3"/>
  <sheetViews>
    <sheetView zoomScalePageLayoutView="0" workbookViewId="0" topLeftCell="A31">
      <selection activeCell="E6" sqref="E6"/>
    </sheetView>
  </sheetViews>
  <sheetFormatPr defaultColWidth="9.00390625" defaultRowHeight="12.75"/>
  <cols>
    <col min="1" max="1" width="7.25390625" style="0" customWidth="1"/>
    <col min="2" max="2" width="6.375" style="0" customWidth="1"/>
    <col min="3" max="3" width="41.875" style="0" customWidth="1"/>
    <col min="4" max="4" width="14.75390625" style="0" customWidth="1"/>
  </cols>
  <sheetData>
    <row r="1" spans="1:4" ht="12.75">
      <c r="A1" s="4"/>
      <c r="B1" s="4"/>
      <c r="C1" s="290" t="s">
        <v>124</v>
      </c>
      <c r="D1" s="290"/>
    </row>
    <row r="2" spans="1:4" ht="12.75">
      <c r="A2" s="4"/>
      <c r="B2" s="4"/>
      <c r="C2" s="30"/>
      <c r="D2" s="30"/>
    </row>
    <row r="3" spans="1:4" ht="12.75">
      <c r="A3" s="4"/>
      <c r="B3" s="4"/>
      <c r="C3" s="25"/>
      <c r="D3" s="5"/>
    </row>
    <row r="4" spans="1:4" ht="12.75">
      <c r="A4" s="6" t="s">
        <v>123</v>
      </c>
      <c r="B4" s="7"/>
      <c r="C4" s="8"/>
      <c r="D4" s="8"/>
    </row>
    <row r="5" spans="1:4" ht="13.5" thickBot="1">
      <c r="A5" s="6"/>
      <c r="B5" s="7"/>
      <c r="C5" s="8"/>
      <c r="D5" s="8"/>
    </row>
    <row r="6" spans="1:5" ht="26.25" thickBot="1">
      <c r="A6" s="32" t="s">
        <v>0</v>
      </c>
      <c r="B6" s="33" t="s">
        <v>1</v>
      </c>
      <c r="C6" s="34" t="s">
        <v>2</v>
      </c>
      <c r="D6" s="37" t="s">
        <v>121</v>
      </c>
      <c r="E6" s="15"/>
    </row>
    <row r="7" spans="1:7" ht="13.5" thickBot="1">
      <c r="A7" s="35">
        <v>1</v>
      </c>
      <c r="B7" s="9">
        <v>2</v>
      </c>
      <c r="C7" s="9">
        <v>3</v>
      </c>
      <c r="D7" s="38">
        <v>4</v>
      </c>
      <c r="E7" s="75"/>
      <c r="F7" s="10"/>
      <c r="G7" s="10"/>
    </row>
    <row r="8" spans="1:5" ht="13.5" thickBot="1">
      <c r="A8" s="36"/>
      <c r="B8" s="11"/>
      <c r="C8" s="12" t="s">
        <v>3</v>
      </c>
      <c r="D8" s="39">
        <f>SUM(D9,D21,D24,D39,D46,D53,D99,D119,D126,D131,D134,D275,D291,D320,D337,D360,D377)</f>
        <v>11068000</v>
      </c>
      <c r="E8" s="15"/>
    </row>
    <row r="9" spans="1:5" ht="13.5" thickBot="1">
      <c r="A9" s="40" t="s">
        <v>4</v>
      </c>
      <c r="B9" s="41"/>
      <c r="C9" s="42" t="s">
        <v>5</v>
      </c>
      <c r="D9" s="43">
        <f>SUM(D10,D15,D17)</f>
        <v>3000000</v>
      </c>
      <c r="E9" s="15"/>
    </row>
    <row r="10" spans="1:5" ht="12.75">
      <c r="A10" s="45" t="s">
        <v>6</v>
      </c>
      <c r="B10" s="46"/>
      <c r="C10" s="47" t="s">
        <v>7</v>
      </c>
      <c r="D10" s="48">
        <f>SUM(D11:D14)</f>
        <v>3000000</v>
      </c>
      <c r="E10" s="15"/>
    </row>
    <row r="11" spans="1:5" ht="12.75">
      <c r="A11" s="49"/>
      <c r="B11" s="27">
        <v>4300</v>
      </c>
      <c r="C11" s="18" t="s">
        <v>15</v>
      </c>
      <c r="D11" s="22"/>
      <c r="E11" s="15"/>
    </row>
    <row r="12" spans="1:5" ht="12.75">
      <c r="A12" s="49"/>
      <c r="B12" s="27">
        <v>6058</v>
      </c>
      <c r="C12" s="18" t="s">
        <v>26</v>
      </c>
      <c r="D12" s="22">
        <v>2000000</v>
      </c>
      <c r="E12" s="15"/>
    </row>
    <row r="13" spans="1:5" ht="12.75">
      <c r="A13" s="49"/>
      <c r="B13" s="27">
        <v>6059</v>
      </c>
      <c r="C13" s="18" t="s">
        <v>26</v>
      </c>
      <c r="D13" s="22">
        <v>500000</v>
      </c>
      <c r="E13" s="15"/>
    </row>
    <row r="14" spans="1:5" ht="45">
      <c r="A14" s="50"/>
      <c r="B14" s="27">
        <v>6659</v>
      </c>
      <c r="C14" s="44" t="s">
        <v>8</v>
      </c>
      <c r="D14" s="22">
        <v>500000</v>
      </c>
      <c r="E14" s="15"/>
    </row>
    <row r="15" spans="1:5" ht="12.75">
      <c r="A15" s="49" t="s">
        <v>9</v>
      </c>
      <c r="B15" s="26"/>
      <c r="C15" s="19" t="s">
        <v>10</v>
      </c>
      <c r="D15" s="20">
        <f>SUM(D16)</f>
        <v>0</v>
      </c>
      <c r="E15" s="15"/>
    </row>
    <row r="16" spans="1:5" ht="38.25">
      <c r="A16" s="50"/>
      <c r="B16" s="27">
        <v>2850</v>
      </c>
      <c r="C16" s="18" t="s">
        <v>11</v>
      </c>
      <c r="D16" s="22"/>
      <c r="E16" s="15"/>
    </row>
    <row r="17" spans="1:5" ht="12.75">
      <c r="A17" s="49" t="s">
        <v>12</v>
      </c>
      <c r="B17" s="26"/>
      <c r="C17" s="19" t="s">
        <v>13</v>
      </c>
      <c r="D17" s="20">
        <f>SUM(D18:D20)</f>
        <v>0</v>
      </c>
      <c r="E17" s="15"/>
    </row>
    <row r="18" spans="1:5" ht="12.75">
      <c r="A18" s="50"/>
      <c r="B18" s="27">
        <v>4210</v>
      </c>
      <c r="C18" s="18" t="s">
        <v>14</v>
      </c>
      <c r="D18" s="22"/>
      <c r="E18" s="15"/>
    </row>
    <row r="19" spans="1:5" ht="12.75">
      <c r="A19" s="50"/>
      <c r="B19" s="27">
        <v>4300</v>
      </c>
      <c r="C19" s="18" t="s">
        <v>15</v>
      </c>
      <c r="D19" s="22"/>
      <c r="E19" s="15"/>
    </row>
    <row r="20" spans="1:5" ht="14.25" customHeight="1" thickBot="1">
      <c r="A20" s="55"/>
      <c r="B20" s="56">
        <v>4430</v>
      </c>
      <c r="C20" s="57" t="s">
        <v>16</v>
      </c>
      <c r="D20" s="58"/>
      <c r="E20" s="15"/>
    </row>
    <row r="21" spans="1:5" ht="13.5" thickBot="1">
      <c r="A21" s="62">
        <v>500</v>
      </c>
      <c r="B21" s="63"/>
      <c r="C21" s="64" t="s">
        <v>17</v>
      </c>
      <c r="D21" s="65">
        <f>SUM(D22)</f>
        <v>0</v>
      </c>
      <c r="E21" s="15"/>
    </row>
    <row r="22" spans="1:5" ht="12.75">
      <c r="A22" s="59">
        <v>50095</v>
      </c>
      <c r="B22" s="60"/>
      <c r="C22" s="61" t="s">
        <v>13</v>
      </c>
      <c r="D22" s="28">
        <f>SUM(D23:D23)</f>
        <v>0</v>
      </c>
      <c r="E22" s="15"/>
    </row>
    <row r="23" spans="1:5" ht="13.5" thickBot="1">
      <c r="A23" s="66"/>
      <c r="B23" s="56">
        <v>4300</v>
      </c>
      <c r="C23" s="57" t="s">
        <v>15</v>
      </c>
      <c r="D23" s="58"/>
      <c r="E23" s="15"/>
    </row>
    <row r="24" spans="1:5" ht="13.5" thickBot="1">
      <c r="A24" s="62">
        <v>600</v>
      </c>
      <c r="B24" s="63"/>
      <c r="C24" s="64" t="s">
        <v>18</v>
      </c>
      <c r="D24" s="65">
        <f>SUM(D25,D29,D27,D31)</f>
        <v>5258000</v>
      </c>
      <c r="E24" s="15"/>
    </row>
    <row r="25" spans="1:5" ht="12.75">
      <c r="A25" s="59">
        <v>60004</v>
      </c>
      <c r="B25" s="60"/>
      <c r="C25" s="61" t="s">
        <v>19</v>
      </c>
      <c r="D25" s="28">
        <f>SUM(D26)</f>
        <v>0</v>
      </c>
      <c r="E25" s="15"/>
    </row>
    <row r="26" spans="1:5" ht="45">
      <c r="A26" s="21"/>
      <c r="B26" s="27">
        <v>2310</v>
      </c>
      <c r="C26" s="44" t="s">
        <v>20</v>
      </c>
      <c r="D26" s="22"/>
      <c r="E26" s="15"/>
    </row>
    <row r="27" spans="1:5" ht="12.75">
      <c r="A27" s="31">
        <v>60013</v>
      </c>
      <c r="B27" s="26"/>
      <c r="C27" s="19" t="s">
        <v>134</v>
      </c>
      <c r="D27" s="20">
        <f>SUM(D28:D28)</f>
        <v>0</v>
      </c>
      <c r="E27" s="15"/>
    </row>
    <row r="28" spans="1:5" ht="33.75">
      <c r="A28" s="51"/>
      <c r="B28" s="27">
        <v>2710</v>
      </c>
      <c r="C28" s="44" t="s">
        <v>22</v>
      </c>
      <c r="D28" s="22"/>
      <c r="E28" s="15"/>
    </row>
    <row r="29" spans="1:5" ht="12.75">
      <c r="A29" s="31">
        <v>60014</v>
      </c>
      <c r="B29" s="26"/>
      <c r="C29" s="19" t="s">
        <v>21</v>
      </c>
      <c r="D29" s="20">
        <f>SUM(D30:D30)</f>
        <v>0</v>
      </c>
      <c r="E29" s="15"/>
    </row>
    <row r="30" spans="1:7" ht="33.75">
      <c r="A30" s="51"/>
      <c r="B30" s="27">
        <v>2710</v>
      </c>
      <c r="C30" s="44" t="s">
        <v>22</v>
      </c>
      <c r="D30" s="22"/>
      <c r="E30" s="76"/>
      <c r="F30" s="13"/>
      <c r="G30" s="13"/>
    </row>
    <row r="31" spans="1:5" ht="12.75">
      <c r="A31" s="31">
        <v>60016</v>
      </c>
      <c r="B31" s="26"/>
      <c r="C31" s="19" t="s">
        <v>23</v>
      </c>
      <c r="D31" s="20">
        <f>SUM(D32:D38)</f>
        <v>5258000</v>
      </c>
      <c r="E31" s="15"/>
    </row>
    <row r="32" spans="1:5" ht="12.75">
      <c r="A32" s="21"/>
      <c r="B32" s="27">
        <v>4270</v>
      </c>
      <c r="C32" s="18" t="s">
        <v>24</v>
      </c>
      <c r="D32" s="22"/>
      <c r="E32" s="15"/>
    </row>
    <row r="33" spans="1:5" ht="12.75">
      <c r="A33" s="21"/>
      <c r="B33" s="27">
        <v>4300</v>
      </c>
      <c r="C33" s="18" t="s">
        <v>15</v>
      </c>
      <c r="D33" s="22"/>
      <c r="E33" s="15"/>
    </row>
    <row r="34" spans="1:5" ht="12.75">
      <c r="A34" s="21"/>
      <c r="B34" s="27">
        <v>4430</v>
      </c>
      <c r="C34" s="18" t="s">
        <v>16</v>
      </c>
      <c r="D34" s="22"/>
      <c r="E34" s="15"/>
    </row>
    <row r="35" spans="1:5" ht="25.5">
      <c r="A35" s="21"/>
      <c r="B35" s="27">
        <v>4590</v>
      </c>
      <c r="C35" s="18" t="s">
        <v>25</v>
      </c>
      <c r="D35" s="22"/>
      <c r="E35" s="15"/>
    </row>
    <row r="36" spans="1:5" ht="12.75">
      <c r="A36" s="21"/>
      <c r="B36" s="27">
        <v>6050</v>
      </c>
      <c r="C36" s="18" t="s">
        <v>26</v>
      </c>
      <c r="D36" s="22">
        <v>5208000</v>
      </c>
      <c r="E36" s="15"/>
    </row>
    <row r="37" spans="1:5" ht="12.75">
      <c r="A37" s="21"/>
      <c r="B37" s="27">
        <v>6058</v>
      </c>
      <c r="C37" s="18" t="s">
        <v>26</v>
      </c>
      <c r="D37" s="22">
        <v>0</v>
      </c>
      <c r="E37" s="15"/>
    </row>
    <row r="38" spans="1:5" ht="13.5" thickBot="1">
      <c r="A38" s="66"/>
      <c r="B38" s="56">
        <v>6059</v>
      </c>
      <c r="C38" s="57" t="s">
        <v>26</v>
      </c>
      <c r="D38" s="58">
        <v>50000</v>
      </c>
      <c r="E38" s="15"/>
    </row>
    <row r="39" spans="1:5" ht="13.5" thickBot="1">
      <c r="A39" s="62">
        <v>700</v>
      </c>
      <c r="B39" s="63"/>
      <c r="C39" s="64" t="s">
        <v>27</v>
      </c>
      <c r="D39" s="65">
        <f>SUM(D40,D44)</f>
        <v>0</v>
      </c>
      <c r="E39" s="15"/>
    </row>
    <row r="40" spans="1:5" ht="12.75">
      <c r="A40" s="59">
        <v>70005</v>
      </c>
      <c r="B40" s="60"/>
      <c r="C40" s="61" t="s">
        <v>28</v>
      </c>
      <c r="D40" s="28">
        <f>SUM(D41:D43)</f>
        <v>0</v>
      </c>
      <c r="E40" s="15"/>
    </row>
    <row r="41" spans="1:5" ht="12.75">
      <c r="A41" s="31"/>
      <c r="B41" s="27">
        <v>4260</v>
      </c>
      <c r="C41" s="18" t="s">
        <v>43</v>
      </c>
      <c r="D41" s="22"/>
      <c r="E41" s="15"/>
    </row>
    <row r="42" spans="1:5" ht="12.75">
      <c r="A42" s="21"/>
      <c r="B42" s="27">
        <v>4300</v>
      </c>
      <c r="C42" s="18" t="s">
        <v>15</v>
      </c>
      <c r="D42" s="22"/>
      <c r="E42" s="15"/>
    </row>
    <row r="43" spans="1:5" ht="25.5">
      <c r="A43" s="21"/>
      <c r="B43" s="27">
        <v>4590</v>
      </c>
      <c r="C43" s="18" t="s">
        <v>25</v>
      </c>
      <c r="D43" s="22"/>
      <c r="E43" s="15"/>
    </row>
    <row r="44" spans="1:5" ht="12.75">
      <c r="A44" s="31">
        <v>70095</v>
      </c>
      <c r="B44" s="26"/>
      <c r="C44" s="19" t="s">
        <v>13</v>
      </c>
      <c r="D44" s="20">
        <f>SUM(D45:D45)</f>
        <v>0</v>
      </c>
      <c r="E44" s="15"/>
    </row>
    <row r="45" spans="1:5" ht="13.5" thickBot="1">
      <c r="A45" s="66"/>
      <c r="B45" s="56">
        <v>4300</v>
      </c>
      <c r="C45" s="57" t="s">
        <v>15</v>
      </c>
      <c r="D45" s="58"/>
      <c r="E45" s="15"/>
    </row>
    <row r="46" spans="1:5" ht="13.5" thickBot="1">
      <c r="A46" s="62">
        <v>710</v>
      </c>
      <c r="B46" s="63"/>
      <c r="C46" s="64" t="s">
        <v>29</v>
      </c>
      <c r="D46" s="65">
        <f>SUM(D47,D49,D51)</f>
        <v>0</v>
      </c>
      <c r="E46" s="15"/>
    </row>
    <row r="47" spans="1:5" ht="12.75">
      <c r="A47" s="59">
        <v>71004</v>
      </c>
      <c r="B47" s="60"/>
      <c r="C47" s="61" t="s">
        <v>30</v>
      </c>
      <c r="D47" s="28">
        <f>SUM(D48:D48)</f>
        <v>0</v>
      </c>
      <c r="E47" s="15"/>
    </row>
    <row r="48" spans="1:5" ht="12.75">
      <c r="A48" s="21"/>
      <c r="B48" s="27">
        <v>4300</v>
      </c>
      <c r="C48" s="18" t="s">
        <v>15</v>
      </c>
      <c r="D48" s="22"/>
      <c r="E48" s="15"/>
    </row>
    <row r="49" spans="1:5" ht="25.5">
      <c r="A49" s="31">
        <v>71013</v>
      </c>
      <c r="B49" s="26"/>
      <c r="C49" s="19" t="s">
        <v>31</v>
      </c>
      <c r="D49" s="20">
        <f>SUM(D50)</f>
        <v>0</v>
      </c>
      <c r="E49" s="15"/>
    </row>
    <row r="50" spans="1:5" ht="12.75">
      <c r="A50" s="21"/>
      <c r="B50" s="27">
        <v>4300</v>
      </c>
      <c r="C50" s="18" t="s">
        <v>15</v>
      </c>
      <c r="D50" s="22"/>
      <c r="E50" s="15"/>
    </row>
    <row r="51" spans="1:5" ht="12.75">
      <c r="A51" s="31">
        <v>71095</v>
      </c>
      <c r="B51" s="26"/>
      <c r="C51" s="19" t="s">
        <v>13</v>
      </c>
      <c r="D51" s="20">
        <f>SUM(D52)</f>
        <v>0</v>
      </c>
      <c r="E51" s="15"/>
    </row>
    <row r="52" spans="1:5" ht="13.5" thickBot="1">
      <c r="A52" s="66"/>
      <c r="B52" s="56">
        <v>4300</v>
      </c>
      <c r="C52" s="57" t="s">
        <v>15</v>
      </c>
      <c r="D52" s="58"/>
      <c r="E52" s="15"/>
    </row>
    <row r="53" spans="1:5" ht="13.5" thickBot="1">
      <c r="A53" s="62">
        <v>750</v>
      </c>
      <c r="B53" s="63"/>
      <c r="C53" s="64" t="s">
        <v>32</v>
      </c>
      <c r="D53" s="65">
        <f>SUM(D54,D60,D86,D89)</f>
        <v>0</v>
      </c>
      <c r="E53" s="15"/>
    </row>
    <row r="54" spans="1:5" ht="25.5">
      <c r="A54" s="59">
        <v>75022</v>
      </c>
      <c r="B54" s="60"/>
      <c r="C54" s="61" t="s">
        <v>33</v>
      </c>
      <c r="D54" s="28">
        <f>SUM(D55:D59)</f>
        <v>0</v>
      </c>
      <c r="E54" s="15"/>
    </row>
    <row r="55" spans="1:5" ht="12.75">
      <c r="A55" s="21"/>
      <c r="B55" s="27">
        <v>3030</v>
      </c>
      <c r="C55" s="18" t="s">
        <v>34</v>
      </c>
      <c r="D55" s="22"/>
      <c r="E55" s="15"/>
    </row>
    <row r="56" spans="1:5" ht="12.75">
      <c r="A56" s="21"/>
      <c r="B56" s="27">
        <v>4210</v>
      </c>
      <c r="C56" s="18" t="s">
        <v>14</v>
      </c>
      <c r="D56" s="22"/>
      <c r="E56" s="15"/>
    </row>
    <row r="57" spans="1:5" ht="12.75">
      <c r="A57" s="21"/>
      <c r="B57" s="27">
        <v>4300</v>
      </c>
      <c r="C57" s="18" t="s">
        <v>15</v>
      </c>
      <c r="D57" s="22"/>
      <c r="E57" s="15"/>
    </row>
    <row r="58" spans="1:5" ht="12.75">
      <c r="A58" s="21"/>
      <c r="B58" s="27">
        <v>4410</v>
      </c>
      <c r="C58" s="18" t="s">
        <v>48</v>
      </c>
      <c r="D58" s="22"/>
      <c r="E58" s="15"/>
    </row>
    <row r="59" spans="1:5" ht="12.75">
      <c r="A59" s="21"/>
      <c r="B59" s="27">
        <v>4430</v>
      </c>
      <c r="C59" s="18" t="s">
        <v>16</v>
      </c>
      <c r="D59" s="22"/>
      <c r="E59" s="15"/>
    </row>
    <row r="60" spans="1:5" ht="25.5">
      <c r="A60" s="31">
        <v>75023</v>
      </c>
      <c r="B60" s="26"/>
      <c r="C60" s="19" t="s">
        <v>35</v>
      </c>
      <c r="D60" s="20">
        <f>SUM(D61:D85)</f>
        <v>0</v>
      </c>
      <c r="E60" s="15"/>
    </row>
    <row r="61" spans="1:5" ht="25.5">
      <c r="A61" s="21"/>
      <c r="B61" s="27">
        <v>3020</v>
      </c>
      <c r="C61" s="18" t="s">
        <v>36</v>
      </c>
      <c r="D61" s="22"/>
      <c r="E61" s="15"/>
    </row>
    <row r="62" spans="1:5" ht="12.75">
      <c r="A62" s="21"/>
      <c r="B62" s="27">
        <v>4010</v>
      </c>
      <c r="C62" s="18" t="s">
        <v>37</v>
      </c>
      <c r="D62" s="22"/>
      <c r="E62" s="15"/>
    </row>
    <row r="63" spans="1:5" ht="12.75">
      <c r="A63" s="21"/>
      <c r="B63" s="27">
        <v>4040</v>
      </c>
      <c r="C63" s="18" t="s">
        <v>38</v>
      </c>
      <c r="D63" s="22"/>
      <c r="E63" s="15"/>
    </row>
    <row r="64" spans="1:5" ht="12.75">
      <c r="A64" s="21"/>
      <c r="B64" s="27">
        <v>4110</v>
      </c>
      <c r="C64" s="18" t="s">
        <v>39</v>
      </c>
      <c r="D64" s="22"/>
      <c r="E64" s="15"/>
    </row>
    <row r="65" spans="1:5" ht="12.75">
      <c r="A65" s="21"/>
      <c r="B65" s="27">
        <v>4120</v>
      </c>
      <c r="C65" s="18" t="s">
        <v>40</v>
      </c>
      <c r="D65" s="22"/>
      <c r="E65" s="15"/>
    </row>
    <row r="66" spans="1:5" ht="25.5">
      <c r="A66" s="21"/>
      <c r="B66" s="27">
        <v>4140</v>
      </c>
      <c r="C66" s="18" t="s">
        <v>41</v>
      </c>
      <c r="D66" s="22"/>
      <c r="E66" s="15"/>
    </row>
    <row r="67" spans="1:5" ht="12.75">
      <c r="A67" s="21"/>
      <c r="B67" s="27">
        <v>4170</v>
      </c>
      <c r="C67" s="18" t="s">
        <v>42</v>
      </c>
      <c r="D67" s="22"/>
      <c r="E67" s="15"/>
    </row>
    <row r="68" spans="1:5" ht="12.75">
      <c r="A68" s="21"/>
      <c r="B68" s="27">
        <v>4210</v>
      </c>
      <c r="C68" s="18" t="s">
        <v>14</v>
      </c>
      <c r="D68" s="22"/>
      <c r="E68" s="15"/>
    </row>
    <row r="69" spans="1:5" ht="25.5">
      <c r="A69" s="21"/>
      <c r="B69" s="27">
        <v>4240</v>
      </c>
      <c r="C69" s="18" t="s">
        <v>74</v>
      </c>
      <c r="D69" s="22"/>
      <c r="E69" s="15"/>
    </row>
    <row r="70" spans="1:5" ht="12.75">
      <c r="A70" s="21"/>
      <c r="B70" s="27">
        <v>4260</v>
      </c>
      <c r="C70" s="18" t="s">
        <v>43</v>
      </c>
      <c r="D70" s="22"/>
      <c r="E70" s="15"/>
    </row>
    <row r="71" spans="1:5" ht="12.75">
      <c r="A71" s="21"/>
      <c r="B71" s="27">
        <v>4270</v>
      </c>
      <c r="C71" s="18" t="s">
        <v>24</v>
      </c>
      <c r="D71" s="22"/>
      <c r="E71" s="15"/>
    </row>
    <row r="72" spans="1:5" ht="12.75">
      <c r="A72" s="21"/>
      <c r="B72" s="27">
        <v>4280</v>
      </c>
      <c r="C72" s="18" t="s">
        <v>44</v>
      </c>
      <c r="D72" s="22"/>
      <c r="E72" s="15"/>
    </row>
    <row r="73" spans="1:5" ht="12.75">
      <c r="A73" s="21"/>
      <c r="B73" s="27">
        <v>4300</v>
      </c>
      <c r="C73" s="18" t="s">
        <v>15</v>
      </c>
      <c r="D73" s="22"/>
      <c r="E73" s="15"/>
    </row>
    <row r="74" spans="1:5" ht="12.75">
      <c r="A74" s="21"/>
      <c r="B74" s="27">
        <v>4350</v>
      </c>
      <c r="C74" s="18" t="s">
        <v>45</v>
      </c>
      <c r="D74" s="22"/>
      <c r="E74" s="15"/>
    </row>
    <row r="75" spans="1:5" ht="25.5">
      <c r="A75" s="21"/>
      <c r="B75" s="27">
        <v>4360</v>
      </c>
      <c r="C75" s="18" t="s">
        <v>46</v>
      </c>
      <c r="D75" s="22"/>
      <c r="E75" s="15"/>
    </row>
    <row r="76" spans="1:5" ht="25.5">
      <c r="A76" s="21"/>
      <c r="B76" s="27">
        <v>4370</v>
      </c>
      <c r="C76" s="18" t="s">
        <v>47</v>
      </c>
      <c r="D76" s="22"/>
      <c r="E76" s="15"/>
    </row>
    <row r="77" spans="1:5" ht="12.75">
      <c r="A77" s="21"/>
      <c r="B77" s="27">
        <v>4410</v>
      </c>
      <c r="C77" s="18" t="s">
        <v>48</v>
      </c>
      <c r="D77" s="22"/>
      <c r="E77" s="15"/>
    </row>
    <row r="78" spans="1:5" ht="12.75">
      <c r="A78" s="21"/>
      <c r="B78" s="27">
        <v>4420</v>
      </c>
      <c r="C78" s="18" t="s">
        <v>49</v>
      </c>
      <c r="D78" s="22"/>
      <c r="E78" s="15"/>
    </row>
    <row r="79" spans="1:5" ht="12.75">
      <c r="A79" s="21"/>
      <c r="B79" s="27">
        <v>4430</v>
      </c>
      <c r="C79" s="18" t="s">
        <v>16</v>
      </c>
      <c r="D79" s="22"/>
      <c r="E79" s="15"/>
    </row>
    <row r="80" spans="1:5" ht="25.5">
      <c r="A80" s="21"/>
      <c r="B80" s="27">
        <v>4440</v>
      </c>
      <c r="C80" s="18" t="s">
        <v>50</v>
      </c>
      <c r="D80" s="22"/>
      <c r="E80" s="15"/>
    </row>
    <row r="81" spans="1:5" ht="12.75">
      <c r="A81" s="21"/>
      <c r="B81" s="27">
        <v>4580</v>
      </c>
      <c r="C81" s="18" t="s">
        <v>136</v>
      </c>
      <c r="D81" s="22"/>
      <c r="E81" s="15"/>
    </row>
    <row r="82" spans="1:5" ht="25.5">
      <c r="A82" s="21"/>
      <c r="B82" s="27">
        <v>4610</v>
      </c>
      <c r="C82" s="18" t="s">
        <v>135</v>
      </c>
      <c r="D82" s="22"/>
      <c r="E82" s="15"/>
    </row>
    <row r="83" spans="1:5" ht="25.5">
      <c r="A83" s="21"/>
      <c r="B83" s="27">
        <v>4700</v>
      </c>
      <c r="C83" s="18" t="s">
        <v>51</v>
      </c>
      <c r="D83" s="22"/>
      <c r="E83" s="15"/>
    </row>
    <row r="84" spans="1:5" ht="25.5">
      <c r="A84" s="21"/>
      <c r="B84" s="27">
        <v>4740</v>
      </c>
      <c r="C84" s="18" t="s">
        <v>52</v>
      </c>
      <c r="D84" s="22"/>
      <c r="E84" s="15"/>
    </row>
    <row r="85" spans="1:5" ht="25.5">
      <c r="A85" s="21"/>
      <c r="B85" s="27">
        <v>4750</v>
      </c>
      <c r="C85" s="18" t="s">
        <v>53</v>
      </c>
      <c r="D85" s="22"/>
      <c r="E85" s="15"/>
    </row>
    <row r="86" spans="1:5" ht="25.5">
      <c r="A86" s="31">
        <v>75075</v>
      </c>
      <c r="B86" s="26"/>
      <c r="C86" s="19" t="s">
        <v>54</v>
      </c>
      <c r="D86" s="20">
        <f>SUM(D87:D88)</f>
        <v>0</v>
      </c>
      <c r="E86" s="15"/>
    </row>
    <row r="87" spans="1:5" ht="12.75">
      <c r="A87" s="31"/>
      <c r="B87" s="27">
        <v>4210</v>
      </c>
      <c r="C87" s="27" t="s">
        <v>14</v>
      </c>
      <c r="D87" s="22"/>
      <c r="E87" s="15"/>
    </row>
    <row r="88" spans="1:5" ht="12.75">
      <c r="A88" s="21"/>
      <c r="B88" s="27">
        <v>4300</v>
      </c>
      <c r="C88" s="18" t="s">
        <v>15</v>
      </c>
      <c r="D88" s="22"/>
      <c r="E88" s="15"/>
    </row>
    <row r="89" spans="1:5" ht="12.75">
      <c r="A89" s="31">
        <v>75095</v>
      </c>
      <c r="B89" s="26"/>
      <c r="C89" s="19" t="s">
        <v>13</v>
      </c>
      <c r="D89" s="20">
        <f>SUM(D90:D98)</f>
        <v>0</v>
      </c>
      <c r="E89" s="15"/>
    </row>
    <row r="90" spans="1:5" ht="12.75">
      <c r="A90" s="21"/>
      <c r="B90" s="27">
        <v>4210</v>
      </c>
      <c r="C90" s="18" t="s">
        <v>14</v>
      </c>
      <c r="D90" s="22"/>
      <c r="E90" s="15"/>
    </row>
    <row r="91" spans="1:5" ht="12.75">
      <c r="A91" s="21"/>
      <c r="B91" s="27">
        <v>4260</v>
      </c>
      <c r="C91" s="18" t="s">
        <v>43</v>
      </c>
      <c r="D91" s="22"/>
      <c r="E91" s="15"/>
    </row>
    <row r="92" spans="1:5" ht="12.75">
      <c r="A92" s="21"/>
      <c r="B92" s="27">
        <v>4270</v>
      </c>
      <c r="C92" s="18" t="s">
        <v>24</v>
      </c>
      <c r="D92" s="22"/>
      <c r="E92" s="15"/>
    </row>
    <row r="93" spans="1:5" ht="12.75">
      <c r="A93" s="21"/>
      <c r="B93" s="27">
        <v>4300</v>
      </c>
      <c r="C93" s="18" t="s">
        <v>15</v>
      </c>
      <c r="D93" s="22"/>
      <c r="E93" s="15"/>
    </row>
    <row r="94" spans="1:5" ht="12.75">
      <c r="A94" s="21"/>
      <c r="B94" s="27">
        <v>4350</v>
      </c>
      <c r="C94" s="18" t="s">
        <v>55</v>
      </c>
      <c r="D94" s="22"/>
      <c r="E94" s="15"/>
    </row>
    <row r="95" spans="1:5" ht="25.5">
      <c r="A95" s="21"/>
      <c r="B95" s="27">
        <v>4370</v>
      </c>
      <c r="C95" s="18" t="s">
        <v>47</v>
      </c>
      <c r="D95" s="22"/>
      <c r="E95" s="15"/>
    </row>
    <row r="96" spans="1:5" ht="25.5">
      <c r="A96" s="21"/>
      <c r="B96" s="27">
        <v>4400</v>
      </c>
      <c r="C96" s="18" t="s">
        <v>56</v>
      </c>
      <c r="D96" s="22"/>
      <c r="E96" s="15"/>
    </row>
    <row r="97" spans="1:5" ht="12.75">
      <c r="A97" s="21"/>
      <c r="B97" s="27">
        <v>4430</v>
      </c>
      <c r="C97" s="18" t="s">
        <v>16</v>
      </c>
      <c r="D97" s="22"/>
      <c r="E97" s="15"/>
    </row>
    <row r="98" spans="1:5" ht="26.25" thickBot="1">
      <c r="A98" s="66"/>
      <c r="B98" s="56">
        <v>4750</v>
      </c>
      <c r="C98" s="57" t="s">
        <v>53</v>
      </c>
      <c r="D98" s="58"/>
      <c r="E98" s="15"/>
    </row>
    <row r="99" spans="1:5" ht="26.25" thickBot="1">
      <c r="A99" s="62">
        <v>754</v>
      </c>
      <c r="B99" s="63"/>
      <c r="C99" s="64" t="s">
        <v>57</v>
      </c>
      <c r="D99" s="65">
        <f>D100+D102+D115+D117</f>
        <v>65000</v>
      </c>
      <c r="E99" s="15"/>
    </row>
    <row r="100" spans="1:5" ht="12.75">
      <c r="A100" s="59">
        <v>75404</v>
      </c>
      <c r="B100" s="60"/>
      <c r="C100" s="61" t="s">
        <v>126</v>
      </c>
      <c r="D100" s="28">
        <f>D101</f>
        <v>35000</v>
      </c>
      <c r="E100" s="15"/>
    </row>
    <row r="101" spans="1:5" ht="22.5">
      <c r="A101" s="52"/>
      <c r="B101" s="27">
        <v>6170</v>
      </c>
      <c r="C101" s="44" t="s">
        <v>127</v>
      </c>
      <c r="D101" s="22">
        <v>35000</v>
      </c>
      <c r="E101" s="15"/>
    </row>
    <row r="102" spans="1:5" ht="12.75">
      <c r="A102" s="31">
        <v>75412</v>
      </c>
      <c r="B102" s="26"/>
      <c r="C102" s="19" t="s">
        <v>58</v>
      </c>
      <c r="D102" s="20">
        <f>SUM(D103:D114)</f>
        <v>0</v>
      </c>
      <c r="E102" s="15"/>
    </row>
    <row r="103" spans="1:7" ht="33.75">
      <c r="A103" s="52"/>
      <c r="B103" s="27">
        <v>2820</v>
      </c>
      <c r="C103" s="44" t="s">
        <v>59</v>
      </c>
      <c r="D103" s="22"/>
      <c r="E103" s="76"/>
      <c r="F103" s="13"/>
      <c r="G103" s="13"/>
    </row>
    <row r="104" spans="1:5" ht="12.75">
      <c r="A104" s="21"/>
      <c r="B104" s="27">
        <v>3030</v>
      </c>
      <c r="C104" s="18" t="s">
        <v>34</v>
      </c>
      <c r="D104" s="22"/>
      <c r="E104" s="15"/>
    </row>
    <row r="105" spans="1:5" ht="12.75">
      <c r="A105" s="21"/>
      <c r="B105" s="27">
        <v>4110</v>
      </c>
      <c r="C105" s="18" t="s">
        <v>39</v>
      </c>
      <c r="D105" s="22"/>
      <c r="E105" s="15"/>
    </row>
    <row r="106" spans="1:5" ht="12.75">
      <c r="A106" s="21"/>
      <c r="B106" s="27">
        <v>4120</v>
      </c>
      <c r="C106" s="18" t="s">
        <v>40</v>
      </c>
      <c r="D106" s="22"/>
      <c r="E106" s="15"/>
    </row>
    <row r="107" spans="1:5" ht="12.75">
      <c r="A107" s="21"/>
      <c r="B107" s="27">
        <v>4170</v>
      </c>
      <c r="C107" s="18" t="s">
        <v>42</v>
      </c>
      <c r="D107" s="22"/>
      <c r="E107" s="15"/>
    </row>
    <row r="108" spans="1:5" ht="12.75">
      <c r="A108" s="21"/>
      <c r="B108" s="27">
        <v>4210</v>
      </c>
      <c r="C108" s="18" t="s">
        <v>14</v>
      </c>
      <c r="D108" s="22"/>
      <c r="E108" s="15"/>
    </row>
    <row r="109" spans="1:5" ht="12.75">
      <c r="A109" s="21"/>
      <c r="B109" s="27">
        <v>4250</v>
      </c>
      <c r="C109" s="18" t="s">
        <v>60</v>
      </c>
      <c r="D109" s="22"/>
      <c r="E109" s="15"/>
    </row>
    <row r="110" spans="1:5" ht="12.75">
      <c r="A110" s="21"/>
      <c r="B110" s="27">
        <v>4260</v>
      </c>
      <c r="C110" s="18" t="s">
        <v>43</v>
      </c>
      <c r="D110" s="22"/>
      <c r="E110" s="15"/>
    </row>
    <row r="111" spans="1:5" ht="12.75">
      <c r="A111" s="21"/>
      <c r="B111" s="27">
        <v>4270</v>
      </c>
      <c r="C111" s="18" t="s">
        <v>24</v>
      </c>
      <c r="D111" s="22"/>
      <c r="E111" s="15"/>
    </row>
    <row r="112" spans="1:5" ht="12.75">
      <c r="A112" s="21"/>
      <c r="B112" s="27">
        <v>4280</v>
      </c>
      <c r="C112" s="18" t="s">
        <v>44</v>
      </c>
      <c r="D112" s="22"/>
      <c r="E112" s="15"/>
    </row>
    <row r="113" spans="1:5" ht="12.75">
      <c r="A113" s="21"/>
      <c r="B113" s="27">
        <v>4300</v>
      </c>
      <c r="C113" s="18" t="s">
        <v>15</v>
      </c>
      <c r="D113" s="22"/>
      <c r="E113" s="15"/>
    </row>
    <row r="114" spans="1:5" ht="12.75">
      <c r="A114" s="21"/>
      <c r="B114" s="27">
        <v>4430</v>
      </c>
      <c r="C114" s="18" t="s">
        <v>16</v>
      </c>
      <c r="D114" s="22"/>
      <c r="E114" s="15"/>
    </row>
    <row r="115" spans="1:5" ht="12.75">
      <c r="A115" s="31">
        <v>75421</v>
      </c>
      <c r="B115" s="26"/>
      <c r="C115" s="19" t="s">
        <v>62</v>
      </c>
      <c r="D115" s="20">
        <f>SUM(D116)</f>
        <v>0</v>
      </c>
      <c r="E115" s="15"/>
    </row>
    <row r="116" spans="1:5" ht="12.75">
      <c r="A116" s="66"/>
      <c r="B116" s="56">
        <v>4810</v>
      </c>
      <c r="C116" s="57" t="s">
        <v>133</v>
      </c>
      <c r="D116" s="58"/>
      <c r="E116" s="15"/>
    </row>
    <row r="117" spans="1:5" ht="12.75">
      <c r="A117" s="31">
        <v>75495</v>
      </c>
      <c r="B117" s="26"/>
      <c r="C117" s="19" t="s">
        <v>13</v>
      </c>
      <c r="D117" s="20">
        <f>SUM(D118)</f>
        <v>30000</v>
      </c>
      <c r="E117" s="15"/>
    </row>
    <row r="118" spans="1:5" ht="13.5" thickBot="1">
      <c r="A118" s="66"/>
      <c r="B118" s="56">
        <v>6050</v>
      </c>
      <c r="C118" s="57" t="s">
        <v>26</v>
      </c>
      <c r="D118" s="58">
        <v>30000</v>
      </c>
      <c r="E118" s="15"/>
    </row>
    <row r="119" spans="1:5" ht="51.75" thickBot="1">
      <c r="A119" s="62">
        <v>756</v>
      </c>
      <c r="B119" s="63"/>
      <c r="C119" s="64" t="s">
        <v>64</v>
      </c>
      <c r="D119" s="65">
        <f>SUM(D120)</f>
        <v>0</v>
      </c>
      <c r="E119" s="15"/>
    </row>
    <row r="120" spans="1:5" ht="25.5">
      <c r="A120" s="59">
        <v>75647</v>
      </c>
      <c r="B120" s="60"/>
      <c r="C120" s="61" t="s">
        <v>65</v>
      </c>
      <c r="D120" s="28">
        <f>SUM(D121:D125)</f>
        <v>0</v>
      </c>
      <c r="E120" s="15"/>
    </row>
    <row r="121" spans="1:5" ht="12.75">
      <c r="A121" s="21"/>
      <c r="B121" s="27">
        <v>4100</v>
      </c>
      <c r="C121" s="18" t="s">
        <v>66</v>
      </c>
      <c r="D121" s="22"/>
      <c r="E121" s="15"/>
    </row>
    <row r="122" spans="1:5" ht="12.75">
      <c r="A122" s="21"/>
      <c r="B122" s="27">
        <v>4110</v>
      </c>
      <c r="C122" s="18" t="s">
        <v>39</v>
      </c>
      <c r="D122" s="22"/>
      <c r="E122" s="15"/>
    </row>
    <row r="123" spans="1:5" ht="12.75">
      <c r="A123" s="21"/>
      <c r="B123" s="27">
        <v>4120</v>
      </c>
      <c r="C123" s="18" t="s">
        <v>40</v>
      </c>
      <c r="D123" s="22"/>
      <c r="E123" s="15"/>
    </row>
    <row r="124" spans="1:5" ht="12.75">
      <c r="A124" s="21"/>
      <c r="B124" s="27">
        <v>4210</v>
      </c>
      <c r="C124" s="18" t="s">
        <v>14</v>
      </c>
      <c r="D124" s="22"/>
      <c r="E124" s="15"/>
    </row>
    <row r="125" spans="1:5" ht="13.5" thickBot="1">
      <c r="A125" s="66"/>
      <c r="B125" s="56">
        <v>4300</v>
      </c>
      <c r="C125" s="57" t="s">
        <v>15</v>
      </c>
      <c r="D125" s="58"/>
      <c r="E125" s="15"/>
    </row>
    <row r="126" spans="1:5" ht="13.5" thickBot="1">
      <c r="A126" s="62">
        <v>757</v>
      </c>
      <c r="B126" s="63"/>
      <c r="C126" s="64" t="s">
        <v>67</v>
      </c>
      <c r="D126" s="65">
        <f>D129+D127</f>
        <v>0</v>
      </c>
      <c r="E126" s="15"/>
    </row>
    <row r="127" spans="1:5" ht="38.25">
      <c r="A127" s="59">
        <v>75702</v>
      </c>
      <c r="B127" s="60"/>
      <c r="C127" s="61" t="s">
        <v>68</v>
      </c>
      <c r="D127" s="28">
        <f>SUM(D128:D128)</f>
        <v>0</v>
      </c>
      <c r="E127" s="15"/>
    </row>
    <row r="128" spans="1:5" ht="38.25">
      <c r="A128" s="66"/>
      <c r="B128" s="56">
        <v>8070</v>
      </c>
      <c r="C128" s="57" t="s">
        <v>69</v>
      </c>
      <c r="D128" s="58"/>
      <c r="E128" s="15"/>
    </row>
    <row r="129" spans="1:5" ht="38.25">
      <c r="A129" s="31">
        <v>75704</v>
      </c>
      <c r="B129" s="26"/>
      <c r="C129" s="19" t="s">
        <v>138</v>
      </c>
      <c r="D129" s="20">
        <f>SUM(D130:D130)</f>
        <v>0</v>
      </c>
      <c r="E129" s="15"/>
    </row>
    <row r="130" spans="1:5" ht="13.5" thickBot="1">
      <c r="A130" s="53"/>
      <c r="B130" s="54">
        <v>8020</v>
      </c>
      <c r="C130" s="23" t="s">
        <v>137</v>
      </c>
      <c r="D130" s="24"/>
      <c r="E130" s="15"/>
    </row>
    <row r="131" spans="1:5" ht="13.5" thickBot="1">
      <c r="A131" s="62">
        <v>758</v>
      </c>
      <c r="B131" s="63"/>
      <c r="C131" s="64" t="s">
        <v>70</v>
      </c>
      <c r="D131" s="65">
        <f>SUM(D132)</f>
        <v>0</v>
      </c>
      <c r="E131" s="15"/>
    </row>
    <row r="132" spans="1:5" ht="12.75">
      <c r="A132" s="59">
        <v>75818</v>
      </c>
      <c r="B132" s="60"/>
      <c r="C132" s="61" t="s">
        <v>63</v>
      </c>
      <c r="D132" s="28">
        <f>SUM(D133)</f>
        <v>0</v>
      </c>
      <c r="E132" s="15"/>
    </row>
    <row r="133" spans="1:5" ht="13.5" thickBot="1">
      <c r="A133" s="66"/>
      <c r="B133" s="56">
        <v>4810</v>
      </c>
      <c r="C133" s="57" t="s">
        <v>133</v>
      </c>
      <c r="D133" s="58"/>
      <c r="E133" s="15"/>
    </row>
    <row r="134" spans="1:5" ht="13.5" thickBot="1">
      <c r="A134" s="62">
        <v>801</v>
      </c>
      <c r="B134" s="63"/>
      <c r="C134" s="64" t="s">
        <v>71</v>
      </c>
      <c r="D134" s="65">
        <f>SUM(D135,D157,D171,D196,D218,D232,D252,D256,D272)</f>
        <v>50000</v>
      </c>
      <c r="E134" s="15"/>
    </row>
    <row r="135" spans="1:5" ht="12.75">
      <c r="A135" s="59">
        <v>80101</v>
      </c>
      <c r="B135" s="60"/>
      <c r="C135" s="61" t="s">
        <v>72</v>
      </c>
      <c r="D135" s="28">
        <f>SUM(D136:D156)</f>
        <v>0</v>
      </c>
      <c r="E135" s="15"/>
    </row>
    <row r="136" spans="1:5" ht="25.5">
      <c r="A136" s="21"/>
      <c r="B136" s="27">
        <v>3020</v>
      </c>
      <c r="C136" s="18" t="s">
        <v>73</v>
      </c>
      <c r="D136" s="22"/>
      <c r="E136" s="15"/>
    </row>
    <row r="137" spans="1:5" ht="12.75">
      <c r="A137" s="21"/>
      <c r="B137" s="27">
        <v>4010</v>
      </c>
      <c r="C137" s="18" t="s">
        <v>37</v>
      </c>
      <c r="D137" s="22"/>
      <c r="E137" s="15"/>
    </row>
    <row r="138" spans="1:5" ht="12.75">
      <c r="A138" s="21"/>
      <c r="B138" s="27">
        <v>4040</v>
      </c>
      <c r="C138" s="18" t="s">
        <v>38</v>
      </c>
      <c r="D138" s="22"/>
      <c r="E138" s="15"/>
    </row>
    <row r="139" spans="1:5" ht="12.75">
      <c r="A139" s="21"/>
      <c r="B139" s="27">
        <v>4110</v>
      </c>
      <c r="C139" s="18" t="s">
        <v>39</v>
      </c>
      <c r="D139" s="22"/>
      <c r="E139" s="15"/>
    </row>
    <row r="140" spans="1:5" ht="12.75">
      <c r="A140" s="21"/>
      <c r="B140" s="27">
        <v>4120</v>
      </c>
      <c r="C140" s="18" t="s">
        <v>40</v>
      </c>
      <c r="D140" s="22"/>
      <c r="E140" s="15"/>
    </row>
    <row r="141" spans="1:5" ht="12.75">
      <c r="A141" s="21"/>
      <c r="B141" s="27">
        <v>4170</v>
      </c>
      <c r="C141" s="18" t="s">
        <v>42</v>
      </c>
      <c r="D141" s="22"/>
      <c r="E141" s="15"/>
    </row>
    <row r="142" spans="1:5" ht="12.75">
      <c r="A142" s="21"/>
      <c r="B142" s="27">
        <v>4210</v>
      </c>
      <c r="C142" s="18" t="s">
        <v>14</v>
      </c>
      <c r="D142" s="22"/>
      <c r="E142" s="15"/>
    </row>
    <row r="143" spans="1:5" ht="25.5">
      <c r="A143" s="21"/>
      <c r="B143" s="27">
        <v>4240</v>
      </c>
      <c r="C143" s="18" t="s">
        <v>74</v>
      </c>
      <c r="D143" s="22"/>
      <c r="E143" s="15"/>
    </row>
    <row r="144" spans="1:5" ht="12.75">
      <c r="A144" s="21"/>
      <c r="B144" s="27">
        <v>4260</v>
      </c>
      <c r="C144" s="18" t="s">
        <v>43</v>
      </c>
      <c r="D144" s="22"/>
      <c r="E144" s="15"/>
    </row>
    <row r="145" spans="1:5" ht="12.75">
      <c r="A145" s="21"/>
      <c r="B145" s="27">
        <v>4270</v>
      </c>
      <c r="C145" s="18" t="s">
        <v>24</v>
      </c>
      <c r="D145" s="22"/>
      <c r="E145" s="15"/>
    </row>
    <row r="146" spans="1:5" ht="12.75">
      <c r="A146" s="21"/>
      <c r="B146" s="27">
        <v>4280</v>
      </c>
      <c r="C146" s="18" t="s">
        <v>44</v>
      </c>
      <c r="D146" s="22"/>
      <c r="E146" s="15"/>
    </row>
    <row r="147" spans="1:5" ht="12.75">
      <c r="A147" s="21"/>
      <c r="B147" s="27">
        <v>4300</v>
      </c>
      <c r="C147" s="18" t="s">
        <v>15</v>
      </c>
      <c r="D147" s="22"/>
      <c r="E147" s="15"/>
    </row>
    <row r="148" spans="1:5" ht="12.75">
      <c r="A148" s="21"/>
      <c r="B148" s="27">
        <v>4350</v>
      </c>
      <c r="C148" s="18" t="s">
        <v>45</v>
      </c>
      <c r="D148" s="22"/>
      <c r="E148" s="15"/>
    </row>
    <row r="149" spans="1:5" ht="25.5">
      <c r="A149" s="21"/>
      <c r="B149" s="27">
        <v>4360</v>
      </c>
      <c r="C149" s="18" t="s">
        <v>46</v>
      </c>
      <c r="D149" s="22"/>
      <c r="E149" s="15"/>
    </row>
    <row r="150" spans="1:5" ht="25.5">
      <c r="A150" s="21"/>
      <c r="B150" s="27">
        <v>4370</v>
      </c>
      <c r="C150" s="18" t="s">
        <v>47</v>
      </c>
      <c r="D150" s="22"/>
      <c r="E150" s="15"/>
    </row>
    <row r="151" spans="1:5" ht="12.75">
      <c r="A151" s="21"/>
      <c r="B151" s="27">
        <v>4410</v>
      </c>
      <c r="C151" s="18" t="s">
        <v>48</v>
      </c>
      <c r="D151" s="22"/>
      <c r="E151" s="15"/>
    </row>
    <row r="152" spans="1:5" ht="12.75">
      <c r="A152" s="21"/>
      <c r="B152" s="27">
        <v>4430</v>
      </c>
      <c r="C152" s="18" t="s">
        <v>16</v>
      </c>
      <c r="D152" s="22"/>
      <c r="E152" s="15"/>
    </row>
    <row r="153" spans="1:5" ht="25.5">
      <c r="A153" s="21"/>
      <c r="B153" s="27">
        <v>4440</v>
      </c>
      <c r="C153" s="18" t="s">
        <v>50</v>
      </c>
      <c r="D153" s="22"/>
      <c r="E153" s="15"/>
    </row>
    <row r="154" spans="1:5" ht="25.5">
      <c r="A154" s="21"/>
      <c r="B154" s="27">
        <v>4740</v>
      </c>
      <c r="C154" s="18" t="s">
        <v>52</v>
      </c>
      <c r="D154" s="22"/>
      <c r="E154" s="15"/>
    </row>
    <row r="155" spans="1:5" ht="25.5">
      <c r="A155" s="21"/>
      <c r="B155" s="27">
        <v>4750</v>
      </c>
      <c r="C155" s="18" t="s">
        <v>53</v>
      </c>
      <c r="D155" s="22"/>
      <c r="E155" s="15"/>
    </row>
    <row r="156" spans="1:5" ht="25.5">
      <c r="A156" s="21"/>
      <c r="B156" s="27">
        <v>6050</v>
      </c>
      <c r="C156" s="18" t="s">
        <v>61</v>
      </c>
      <c r="D156" s="22"/>
      <c r="E156" s="15"/>
    </row>
    <row r="157" spans="1:5" ht="25.5">
      <c r="A157" s="31">
        <v>80103</v>
      </c>
      <c r="B157" s="26"/>
      <c r="C157" s="19" t="s">
        <v>75</v>
      </c>
      <c r="D157" s="20">
        <f>SUM(D158:D170)</f>
        <v>0</v>
      </c>
      <c r="E157" s="15"/>
    </row>
    <row r="158" spans="1:5" ht="25.5">
      <c r="A158" s="31"/>
      <c r="B158" s="27">
        <v>3020</v>
      </c>
      <c r="C158" s="18" t="s">
        <v>73</v>
      </c>
      <c r="D158" s="22"/>
      <c r="E158" s="15"/>
    </row>
    <row r="159" spans="1:5" ht="12.75">
      <c r="A159" s="31"/>
      <c r="B159" s="27">
        <v>4010</v>
      </c>
      <c r="C159" s="18" t="s">
        <v>37</v>
      </c>
      <c r="D159" s="22"/>
      <c r="E159" s="15"/>
    </row>
    <row r="160" spans="1:5" ht="12.75">
      <c r="A160" s="31"/>
      <c r="B160" s="27">
        <v>4040</v>
      </c>
      <c r="C160" s="18" t="s">
        <v>38</v>
      </c>
      <c r="D160" s="22"/>
      <c r="E160" s="15"/>
    </row>
    <row r="161" spans="1:5" ht="12.75">
      <c r="A161" s="31"/>
      <c r="B161" s="27">
        <v>4110</v>
      </c>
      <c r="C161" s="18" t="s">
        <v>39</v>
      </c>
      <c r="D161" s="22"/>
      <c r="E161" s="15"/>
    </row>
    <row r="162" spans="1:5" ht="12.75">
      <c r="A162" s="31"/>
      <c r="B162" s="27">
        <v>4120</v>
      </c>
      <c r="C162" s="18" t="s">
        <v>40</v>
      </c>
      <c r="D162" s="22"/>
      <c r="E162" s="15"/>
    </row>
    <row r="163" spans="1:5" ht="12.75">
      <c r="A163" s="31"/>
      <c r="B163" s="27">
        <v>4210</v>
      </c>
      <c r="C163" s="18" t="s">
        <v>14</v>
      </c>
      <c r="D163" s="22"/>
      <c r="E163" s="15"/>
    </row>
    <row r="164" spans="1:5" ht="25.5">
      <c r="A164" s="31"/>
      <c r="B164" s="27">
        <v>4240</v>
      </c>
      <c r="C164" s="18" t="s">
        <v>74</v>
      </c>
      <c r="D164" s="22"/>
      <c r="E164" s="15"/>
    </row>
    <row r="165" spans="1:5" ht="12.75">
      <c r="A165" s="31"/>
      <c r="B165" s="27">
        <v>4270</v>
      </c>
      <c r="C165" s="18" t="s">
        <v>24</v>
      </c>
      <c r="D165" s="22"/>
      <c r="E165" s="15"/>
    </row>
    <row r="166" spans="1:5" ht="12.75">
      <c r="A166" s="31"/>
      <c r="B166" s="27">
        <v>4280</v>
      </c>
      <c r="C166" s="18" t="s">
        <v>44</v>
      </c>
      <c r="D166" s="22"/>
      <c r="E166" s="15"/>
    </row>
    <row r="167" spans="1:5" ht="12.75">
      <c r="A167" s="31"/>
      <c r="B167" s="27">
        <v>4300</v>
      </c>
      <c r="C167" s="18" t="s">
        <v>15</v>
      </c>
      <c r="D167" s="22"/>
      <c r="E167" s="15"/>
    </row>
    <row r="168" spans="1:5" ht="12.75">
      <c r="A168" s="21"/>
      <c r="B168" s="27">
        <v>4410</v>
      </c>
      <c r="C168" s="18" t="s">
        <v>48</v>
      </c>
      <c r="D168" s="22"/>
      <c r="E168" s="15"/>
    </row>
    <row r="169" spans="1:5" ht="25.5">
      <c r="A169" s="21"/>
      <c r="B169" s="27">
        <v>4440</v>
      </c>
      <c r="C169" s="18" t="s">
        <v>50</v>
      </c>
      <c r="D169" s="22"/>
      <c r="E169" s="15"/>
    </row>
    <row r="170" spans="1:5" ht="25.5">
      <c r="A170" s="21"/>
      <c r="B170" s="27">
        <v>4740</v>
      </c>
      <c r="C170" s="18" t="s">
        <v>52</v>
      </c>
      <c r="D170" s="22"/>
      <c r="E170" s="15"/>
    </row>
    <row r="171" spans="1:5" ht="12.75">
      <c r="A171" s="31">
        <v>80104</v>
      </c>
      <c r="B171" s="26"/>
      <c r="C171" s="19" t="s">
        <v>77</v>
      </c>
      <c r="D171" s="20">
        <f>SUM(D172:D195)</f>
        <v>50000</v>
      </c>
      <c r="E171" s="15"/>
    </row>
    <row r="172" spans="1:5" ht="45">
      <c r="A172" s="31"/>
      <c r="B172" s="27">
        <v>2310</v>
      </c>
      <c r="C172" s="44" t="s">
        <v>20</v>
      </c>
      <c r="D172" s="22"/>
      <c r="E172" s="15"/>
    </row>
    <row r="173" spans="1:5" ht="25.5">
      <c r="A173" s="21"/>
      <c r="B173" s="27">
        <v>3020</v>
      </c>
      <c r="C173" s="18" t="s">
        <v>73</v>
      </c>
      <c r="D173" s="22"/>
      <c r="E173" s="15"/>
    </row>
    <row r="174" spans="1:5" ht="12.75">
      <c r="A174" s="21"/>
      <c r="B174" s="27">
        <v>4010</v>
      </c>
      <c r="C174" s="18" t="s">
        <v>37</v>
      </c>
      <c r="D174" s="22"/>
      <c r="E174" s="15"/>
    </row>
    <row r="175" spans="1:5" ht="12.75">
      <c r="A175" s="21"/>
      <c r="B175" s="27">
        <v>4040</v>
      </c>
      <c r="C175" s="18" t="s">
        <v>38</v>
      </c>
      <c r="D175" s="22"/>
      <c r="E175" s="15"/>
    </row>
    <row r="176" spans="1:5" ht="12.75">
      <c r="A176" s="21"/>
      <c r="B176" s="27">
        <v>4110</v>
      </c>
      <c r="C176" s="18" t="s">
        <v>39</v>
      </c>
      <c r="D176" s="22"/>
      <c r="E176" s="15"/>
    </row>
    <row r="177" spans="1:5" ht="12.75">
      <c r="A177" s="21"/>
      <c r="B177" s="27">
        <v>4120</v>
      </c>
      <c r="C177" s="18" t="s">
        <v>40</v>
      </c>
      <c r="D177" s="22"/>
      <c r="E177" s="15"/>
    </row>
    <row r="178" spans="1:5" ht="12.75">
      <c r="A178" s="21"/>
      <c r="B178" s="27">
        <v>4170</v>
      </c>
      <c r="C178" s="18" t="s">
        <v>42</v>
      </c>
      <c r="D178" s="22"/>
      <c r="E178" s="15"/>
    </row>
    <row r="179" spans="1:5" ht="12.75">
      <c r="A179" s="21"/>
      <c r="B179" s="27">
        <v>4210</v>
      </c>
      <c r="C179" s="18" t="s">
        <v>14</v>
      </c>
      <c r="D179" s="22"/>
      <c r="E179" s="15"/>
    </row>
    <row r="180" spans="1:5" ht="12.75">
      <c r="A180" s="21"/>
      <c r="B180" s="27">
        <v>4220</v>
      </c>
      <c r="C180" s="18" t="s">
        <v>78</v>
      </c>
      <c r="D180" s="22"/>
      <c r="E180" s="15"/>
    </row>
    <row r="181" spans="1:5" ht="12.75">
      <c r="A181" s="21"/>
      <c r="B181" s="27">
        <v>4240</v>
      </c>
      <c r="C181" s="18" t="s">
        <v>76</v>
      </c>
      <c r="D181" s="22"/>
      <c r="E181" s="15"/>
    </row>
    <row r="182" spans="1:5" ht="12.75">
      <c r="A182" s="21"/>
      <c r="B182" s="27">
        <v>4260</v>
      </c>
      <c r="C182" s="18" t="s">
        <v>43</v>
      </c>
      <c r="D182" s="22"/>
      <c r="E182" s="15"/>
    </row>
    <row r="183" spans="1:5" ht="12.75">
      <c r="A183" s="21"/>
      <c r="B183" s="27">
        <v>4270</v>
      </c>
      <c r="C183" s="18" t="s">
        <v>24</v>
      </c>
      <c r="D183" s="22"/>
      <c r="E183" s="15"/>
    </row>
    <row r="184" spans="1:5" ht="12.75">
      <c r="A184" s="21"/>
      <c r="B184" s="27">
        <v>4280</v>
      </c>
      <c r="C184" s="18" t="s">
        <v>44</v>
      </c>
      <c r="D184" s="22"/>
      <c r="E184" s="15"/>
    </row>
    <row r="185" spans="1:5" ht="12.75">
      <c r="A185" s="21"/>
      <c r="B185" s="27">
        <v>4300</v>
      </c>
      <c r="C185" s="18" t="s">
        <v>15</v>
      </c>
      <c r="D185" s="22"/>
      <c r="E185" s="15"/>
    </row>
    <row r="186" spans="1:5" ht="12.75">
      <c r="A186" s="21"/>
      <c r="B186" s="27">
        <v>4350</v>
      </c>
      <c r="C186" s="18" t="s">
        <v>45</v>
      </c>
      <c r="D186" s="22"/>
      <c r="E186" s="15"/>
    </row>
    <row r="187" spans="1:5" ht="25.5">
      <c r="A187" s="21"/>
      <c r="B187" s="27">
        <v>4370</v>
      </c>
      <c r="C187" s="18" t="s">
        <v>47</v>
      </c>
      <c r="D187" s="22"/>
      <c r="E187" s="15"/>
    </row>
    <row r="188" spans="1:5" ht="25.5">
      <c r="A188" s="21"/>
      <c r="B188" s="27">
        <v>4390</v>
      </c>
      <c r="C188" s="18" t="s">
        <v>79</v>
      </c>
      <c r="D188" s="22"/>
      <c r="E188" s="15"/>
    </row>
    <row r="189" spans="1:5" ht="12.75">
      <c r="A189" s="21"/>
      <c r="B189" s="27">
        <v>4410</v>
      </c>
      <c r="C189" s="18" t="s">
        <v>48</v>
      </c>
      <c r="D189" s="22"/>
      <c r="E189" s="15"/>
    </row>
    <row r="190" spans="1:5" ht="12.75">
      <c r="A190" s="21"/>
      <c r="B190" s="27">
        <v>4430</v>
      </c>
      <c r="C190" s="18" t="s">
        <v>16</v>
      </c>
      <c r="D190" s="22"/>
      <c r="E190" s="15"/>
    </row>
    <row r="191" spans="1:5" ht="25.5">
      <c r="A191" s="21"/>
      <c r="B191" s="27">
        <v>4440</v>
      </c>
      <c r="C191" s="18" t="s">
        <v>50</v>
      </c>
      <c r="D191" s="22"/>
      <c r="E191" s="15"/>
    </row>
    <row r="192" spans="1:5" ht="25.5">
      <c r="A192" s="21"/>
      <c r="B192" s="27">
        <v>4740</v>
      </c>
      <c r="C192" s="18" t="s">
        <v>52</v>
      </c>
      <c r="D192" s="22"/>
      <c r="E192" s="15"/>
    </row>
    <row r="193" spans="1:5" ht="25.5">
      <c r="A193" s="21"/>
      <c r="B193" s="27">
        <v>4750</v>
      </c>
      <c r="C193" s="18" t="s">
        <v>53</v>
      </c>
      <c r="D193" s="22"/>
      <c r="E193" s="15"/>
    </row>
    <row r="194" spans="1:5" ht="12.75">
      <c r="A194" s="21"/>
      <c r="B194" s="27">
        <v>6050</v>
      </c>
      <c r="C194" s="18" t="s">
        <v>26</v>
      </c>
      <c r="D194" s="22">
        <v>50000</v>
      </c>
      <c r="E194" s="15"/>
    </row>
    <row r="195" spans="1:5" ht="25.5">
      <c r="A195" s="21"/>
      <c r="B195" s="27">
        <v>6060</v>
      </c>
      <c r="C195" s="18" t="s">
        <v>61</v>
      </c>
      <c r="D195" s="22"/>
      <c r="E195" s="15"/>
    </row>
    <row r="196" spans="1:5" ht="12.75">
      <c r="A196" s="31">
        <v>80110</v>
      </c>
      <c r="B196" s="26"/>
      <c r="C196" s="19" t="s">
        <v>80</v>
      </c>
      <c r="D196" s="20">
        <f>SUM(D197:D217)</f>
        <v>0</v>
      </c>
      <c r="E196" s="15"/>
    </row>
    <row r="197" spans="1:5" ht="25.5">
      <c r="A197" s="21"/>
      <c r="B197" s="27">
        <v>3020</v>
      </c>
      <c r="C197" s="18" t="s">
        <v>73</v>
      </c>
      <c r="D197" s="22"/>
      <c r="E197" s="15"/>
    </row>
    <row r="198" spans="1:5" ht="12.75">
      <c r="A198" s="21"/>
      <c r="B198" s="27">
        <v>4010</v>
      </c>
      <c r="C198" s="18" t="s">
        <v>37</v>
      </c>
      <c r="D198" s="22"/>
      <c r="E198" s="15"/>
    </row>
    <row r="199" spans="1:5" ht="12.75">
      <c r="A199" s="21"/>
      <c r="B199" s="27">
        <v>4040</v>
      </c>
      <c r="C199" s="18" t="s">
        <v>38</v>
      </c>
      <c r="D199" s="22"/>
      <c r="E199" s="15"/>
    </row>
    <row r="200" spans="1:5" ht="12.75">
      <c r="A200" s="21"/>
      <c r="B200" s="27">
        <v>4110</v>
      </c>
      <c r="C200" s="18" t="s">
        <v>39</v>
      </c>
      <c r="D200" s="22"/>
      <c r="E200" s="15"/>
    </row>
    <row r="201" spans="1:5" ht="12.75">
      <c r="A201" s="21"/>
      <c r="B201" s="27">
        <v>4120</v>
      </c>
      <c r="C201" s="18" t="s">
        <v>40</v>
      </c>
      <c r="D201" s="22"/>
      <c r="E201" s="15"/>
    </row>
    <row r="202" spans="1:5" ht="12.75">
      <c r="A202" s="21"/>
      <c r="B202" s="27">
        <v>4170</v>
      </c>
      <c r="C202" s="18" t="s">
        <v>42</v>
      </c>
      <c r="D202" s="22"/>
      <c r="E202" s="15"/>
    </row>
    <row r="203" spans="1:5" ht="12.75">
      <c r="A203" s="21"/>
      <c r="B203" s="27">
        <v>4210</v>
      </c>
      <c r="C203" s="18" t="s">
        <v>14</v>
      </c>
      <c r="D203" s="22"/>
      <c r="E203" s="15"/>
    </row>
    <row r="204" spans="1:5" ht="12.75">
      <c r="A204" s="21"/>
      <c r="B204" s="27">
        <v>4240</v>
      </c>
      <c r="C204" s="18" t="s">
        <v>76</v>
      </c>
      <c r="D204" s="22"/>
      <c r="E204" s="15"/>
    </row>
    <row r="205" spans="1:5" ht="12.75">
      <c r="A205" s="21"/>
      <c r="B205" s="27">
        <v>4260</v>
      </c>
      <c r="C205" s="18" t="s">
        <v>43</v>
      </c>
      <c r="D205" s="22"/>
      <c r="E205" s="15"/>
    </row>
    <row r="206" spans="1:5" ht="12.75">
      <c r="A206" s="21"/>
      <c r="B206" s="27">
        <v>4270</v>
      </c>
      <c r="C206" s="18" t="s">
        <v>24</v>
      </c>
      <c r="D206" s="22"/>
      <c r="E206" s="15"/>
    </row>
    <row r="207" spans="1:5" ht="12.75">
      <c r="A207" s="21"/>
      <c r="B207" s="27">
        <v>4280</v>
      </c>
      <c r="C207" s="18" t="s">
        <v>44</v>
      </c>
      <c r="D207" s="22"/>
      <c r="E207" s="15"/>
    </row>
    <row r="208" spans="1:5" ht="12.75">
      <c r="A208" s="21"/>
      <c r="B208" s="27">
        <v>4300</v>
      </c>
      <c r="C208" s="18" t="s">
        <v>15</v>
      </c>
      <c r="D208" s="22"/>
      <c r="E208" s="15"/>
    </row>
    <row r="209" spans="1:5" ht="12.75">
      <c r="A209" s="21"/>
      <c r="B209" s="27">
        <v>4350</v>
      </c>
      <c r="C209" s="18" t="s">
        <v>45</v>
      </c>
      <c r="D209" s="22"/>
      <c r="E209" s="15"/>
    </row>
    <row r="210" spans="1:5" ht="25.5">
      <c r="A210" s="21"/>
      <c r="B210" s="27">
        <v>4360</v>
      </c>
      <c r="C210" s="18" t="s">
        <v>46</v>
      </c>
      <c r="D210" s="22"/>
      <c r="E210" s="15"/>
    </row>
    <row r="211" spans="1:5" ht="25.5">
      <c r="A211" s="21"/>
      <c r="B211" s="27">
        <v>4370</v>
      </c>
      <c r="C211" s="18" t="s">
        <v>47</v>
      </c>
      <c r="D211" s="22"/>
      <c r="E211" s="15"/>
    </row>
    <row r="212" spans="1:5" ht="12.75">
      <c r="A212" s="21"/>
      <c r="B212" s="27">
        <v>4410</v>
      </c>
      <c r="C212" s="18" t="s">
        <v>48</v>
      </c>
      <c r="D212" s="22"/>
      <c r="E212" s="15"/>
    </row>
    <row r="213" spans="1:5" ht="12.75">
      <c r="A213" s="21"/>
      <c r="B213" s="27">
        <v>4430</v>
      </c>
      <c r="C213" s="18" t="s">
        <v>16</v>
      </c>
      <c r="D213" s="22"/>
      <c r="E213" s="15"/>
    </row>
    <row r="214" spans="1:5" ht="25.5">
      <c r="A214" s="21"/>
      <c r="B214" s="27">
        <v>4440</v>
      </c>
      <c r="C214" s="18" t="s">
        <v>50</v>
      </c>
      <c r="D214" s="22"/>
      <c r="E214" s="15"/>
    </row>
    <row r="215" spans="1:5" ht="25.5">
      <c r="A215" s="21"/>
      <c r="B215" s="27">
        <v>4740</v>
      </c>
      <c r="C215" s="18" t="s">
        <v>52</v>
      </c>
      <c r="D215" s="22"/>
      <c r="E215" s="15"/>
    </row>
    <row r="216" spans="1:5" ht="25.5">
      <c r="A216" s="21"/>
      <c r="B216" s="27">
        <v>4750</v>
      </c>
      <c r="C216" s="18" t="s">
        <v>53</v>
      </c>
      <c r="D216" s="22"/>
      <c r="E216" s="15"/>
    </row>
    <row r="217" spans="1:5" ht="25.5">
      <c r="A217" s="21"/>
      <c r="B217" s="27">
        <v>6060</v>
      </c>
      <c r="C217" s="18" t="s">
        <v>61</v>
      </c>
      <c r="D217" s="22"/>
      <c r="E217" s="15"/>
    </row>
    <row r="218" spans="1:5" ht="12.75">
      <c r="A218" s="31">
        <v>80113</v>
      </c>
      <c r="B218" s="26"/>
      <c r="C218" s="19" t="s">
        <v>81</v>
      </c>
      <c r="D218" s="20">
        <f>SUM(D219:D231)</f>
        <v>0</v>
      </c>
      <c r="E218" s="15"/>
    </row>
    <row r="219" spans="1:5" ht="25.5">
      <c r="A219" s="31"/>
      <c r="B219" s="27">
        <v>3020</v>
      </c>
      <c r="C219" s="18" t="s">
        <v>73</v>
      </c>
      <c r="D219" s="22"/>
      <c r="E219" s="15"/>
    </row>
    <row r="220" spans="1:5" ht="12.75">
      <c r="A220" s="21"/>
      <c r="B220" s="27">
        <v>4010</v>
      </c>
      <c r="C220" s="18" t="s">
        <v>37</v>
      </c>
      <c r="D220" s="22"/>
      <c r="E220" s="15"/>
    </row>
    <row r="221" spans="1:5" ht="12.75">
      <c r="A221" s="21"/>
      <c r="B221" s="27">
        <v>4040</v>
      </c>
      <c r="C221" s="18" t="s">
        <v>38</v>
      </c>
      <c r="D221" s="22"/>
      <c r="E221" s="15"/>
    </row>
    <row r="222" spans="1:5" ht="12.75">
      <c r="A222" s="21"/>
      <c r="B222" s="27">
        <v>4110</v>
      </c>
      <c r="C222" s="18" t="s">
        <v>39</v>
      </c>
      <c r="D222" s="22"/>
      <c r="E222" s="15"/>
    </row>
    <row r="223" spans="1:5" ht="12.75">
      <c r="A223" s="21"/>
      <c r="B223" s="27">
        <v>4120</v>
      </c>
      <c r="C223" s="18" t="s">
        <v>40</v>
      </c>
      <c r="D223" s="22"/>
      <c r="E223" s="15"/>
    </row>
    <row r="224" spans="1:5" ht="12.75">
      <c r="A224" s="21"/>
      <c r="B224" s="27">
        <v>4210</v>
      </c>
      <c r="C224" s="18" t="s">
        <v>14</v>
      </c>
      <c r="D224" s="22"/>
      <c r="E224" s="15"/>
    </row>
    <row r="225" spans="1:5" ht="12.75">
      <c r="A225" s="21"/>
      <c r="B225" s="27">
        <v>4270</v>
      </c>
      <c r="C225" s="18" t="s">
        <v>24</v>
      </c>
      <c r="D225" s="22"/>
      <c r="E225" s="15"/>
    </row>
    <row r="226" spans="1:5" ht="12.75">
      <c r="A226" s="21"/>
      <c r="B226" s="27">
        <v>4280</v>
      </c>
      <c r="C226" s="18" t="s">
        <v>44</v>
      </c>
      <c r="D226" s="22"/>
      <c r="E226" s="15"/>
    </row>
    <row r="227" spans="1:5" ht="12.75">
      <c r="A227" s="21"/>
      <c r="B227" s="27">
        <v>4300</v>
      </c>
      <c r="C227" s="18" t="s">
        <v>15</v>
      </c>
      <c r="D227" s="22"/>
      <c r="E227" s="15"/>
    </row>
    <row r="228" spans="1:5" ht="25.5">
      <c r="A228" s="21"/>
      <c r="B228" s="27">
        <v>4360</v>
      </c>
      <c r="C228" s="18" t="s">
        <v>46</v>
      </c>
      <c r="D228" s="22"/>
      <c r="E228" s="15"/>
    </row>
    <row r="229" spans="1:5" ht="12.75">
      <c r="A229" s="21"/>
      <c r="B229" s="27">
        <v>4410</v>
      </c>
      <c r="C229" s="27" t="s">
        <v>48</v>
      </c>
      <c r="D229" s="22"/>
      <c r="E229" s="15"/>
    </row>
    <row r="230" spans="1:5" ht="12.75">
      <c r="A230" s="21"/>
      <c r="B230" s="27">
        <v>4430</v>
      </c>
      <c r="C230" s="18" t="s">
        <v>16</v>
      </c>
      <c r="D230" s="22"/>
      <c r="E230" s="15"/>
    </row>
    <row r="231" spans="1:5" ht="25.5">
      <c r="A231" s="21"/>
      <c r="B231" s="27">
        <v>4440</v>
      </c>
      <c r="C231" s="18" t="s">
        <v>50</v>
      </c>
      <c r="D231" s="22"/>
      <c r="E231" s="15"/>
    </row>
    <row r="232" spans="1:5" ht="25.5">
      <c r="A232" s="31">
        <v>80114</v>
      </c>
      <c r="B232" s="26"/>
      <c r="C232" s="19" t="s">
        <v>82</v>
      </c>
      <c r="D232" s="20">
        <f>SUM(D233:D251)</f>
        <v>0</v>
      </c>
      <c r="E232" s="15"/>
    </row>
    <row r="233" spans="1:5" ht="25.5">
      <c r="A233" s="31"/>
      <c r="B233" s="27">
        <v>3020</v>
      </c>
      <c r="C233" s="18" t="s">
        <v>73</v>
      </c>
      <c r="D233" s="22"/>
      <c r="E233" s="15"/>
    </row>
    <row r="234" spans="1:5" ht="12.75">
      <c r="A234" s="21"/>
      <c r="B234" s="27">
        <v>4010</v>
      </c>
      <c r="C234" s="18" t="s">
        <v>37</v>
      </c>
      <c r="D234" s="22"/>
      <c r="E234" s="15"/>
    </row>
    <row r="235" spans="1:5" ht="12.75">
      <c r="A235" s="21"/>
      <c r="B235" s="27">
        <v>4040</v>
      </c>
      <c r="C235" s="18" t="s">
        <v>38</v>
      </c>
      <c r="D235" s="22"/>
      <c r="E235" s="15"/>
    </row>
    <row r="236" spans="1:5" ht="12.75">
      <c r="A236" s="21"/>
      <c r="B236" s="27">
        <v>4110</v>
      </c>
      <c r="C236" s="18" t="s">
        <v>39</v>
      </c>
      <c r="D236" s="22"/>
      <c r="E236" s="15"/>
    </row>
    <row r="237" spans="1:5" ht="12.75">
      <c r="A237" s="21"/>
      <c r="B237" s="27">
        <v>4120</v>
      </c>
      <c r="C237" s="18" t="s">
        <v>40</v>
      </c>
      <c r="D237" s="22"/>
      <c r="E237" s="15"/>
    </row>
    <row r="238" spans="1:5" ht="12.75">
      <c r="A238" s="21"/>
      <c r="B238" s="27">
        <v>4170</v>
      </c>
      <c r="C238" s="18" t="s">
        <v>42</v>
      </c>
      <c r="D238" s="22"/>
      <c r="E238" s="15"/>
    </row>
    <row r="239" spans="1:5" ht="12.75">
      <c r="A239" s="21"/>
      <c r="B239" s="27">
        <v>4210</v>
      </c>
      <c r="C239" s="18" t="s">
        <v>14</v>
      </c>
      <c r="D239" s="22"/>
      <c r="E239" s="15"/>
    </row>
    <row r="240" spans="1:5" ht="12.75">
      <c r="A240" s="21"/>
      <c r="B240" s="27">
        <v>4260</v>
      </c>
      <c r="C240" s="18" t="s">
        <v>43</v>
      </c>
      <c r="D240" s="22"/>
      <c r="E240" s="15"/>
    </row>
    <row r="241" spans="1:5" ht="12.75">
      <c r="A241" s="21"/>
      <c r="B241" s="27">
        <v>4270</v>
      </c>
      <c r="C241" s="18" t="s">
        <v>24</v>
      </c>
      <c r="D241" s="22"/>
      <c r="E241" s="15"/>
    </row>
    <row r="242" spans="1:5" ht="12.75">
      <c r="A242" s="21"/>
      <c r="B242" s="27">
        <v>4280</v>
      </c>
      <c r="C242" s="18" t="s">
        <v>44</v>
      </c>
      <c r="D242" s="22"/>
      <c r="E242" s="15"/>
    </row>
    <row r="243" spans="1:5" ht="12.75">
      <c r="A243" s="21"/>
      <c r="B243" s="27">
        <v>4300</v>
      </c>
      <c r="C243" s="18" t="s">
        <v>15</v>
      </c>
      <c r="D243" s="22"/>
      <c r="E243" s="15"/>
    </row>
    <row r="244" spans="1:5" ht="12.75">
      <c r="A244" s="21"/>
      <c r="B244" s="27">
        <v>4350</v>
      </c>
      <c r="C244" s="18" t="s">
        <v>45</v>
      </c>
      <c r="D244" s="22"/>
      <c r="E244" s="15"/>
    </row>
    <row r="245" spans="1:5" ht="25.5">
      <c r="A245" s="21"/>
      <c r="B245" s="27">
        <v>4370</v>
      </c>
      <c r="C245" s="18" t="s">
        <v>47</v>
      </c>
      <c r="D245" s="22"/>
      <c r="E245" s="15"/>
    </row>
    <row r="246" spans="1:5" ht="12.75">
      <c r="A246" s="21"/>
      <c r="B246" s="27">
        <v>4410</v>
      </c>
      <c r="C246" s="18" t="s">
        <v>48</v>
      </c>
      <c r="D246" s="22"/>
      <c r="E246" s="15"/>
    </row>
    <row r="247" spans="1:5" ht="12.75">
      <c r="A247" s="21"/>
      <c r="B247" s="27">
        <v>4430</v>
      </c>
      <c r="C247" s="18" t="s">
        <v>16</v>
      </c>
      <c r="D247" s="22"/>
      <c r="E247" s="15"/>
    </row>
    <row r="248" spans="1:5" ht="25.5">
      <c r="A248" s="21"/>
      <c r="B248" s="27">
        <v>4440</v>
      </c>
      <c r="C248" s="18" t="s">
        <v>50</v>
      </c>
      <c r="D248" s="22"/>
      <c r="E248" s="15"/>
    </row>
    <row r="249" spans="1:5" ht="25.5">
      <c r="A249" s="21"/>
      <c r="B249" s="27">
        <v>4740</v>
      </c>
      <c r="C249" s="18" t="s">
        <v>52</v>
      </c>
      <c r="D249" s="22"/>
      <c r="E249" s="15"/>
    </row>
    <row r="250" spans="1:5" ht="25.5">
      <c r="A250" s="21"/>
      <c r="B250" s="27">
        <v>4750</v>
      </c>
      <c r="C250" s="18" t="s">
        <v>53</v>
      </c>
      <c r="D250" s="22"/>
      <c r="E250" s="15"/>
    </row>
    <row r="251" spans="1:5" ht="25.5">
      <c r="A251" s="21"/>
      <c r="B251" s="27">
        <v>6060</v>
      </c>
      <c r="C251" s="18" t="s">
        <v>61</v>
      </c>
      <c r="D251" s="22"/>
      <c r="E251" s="15"/>
    </row>
    <row r="252" spans="1:5" ht="12.75">
      <c r="A252" s="31">
        <v>80146</v>
      </c>
      <c r="B252" s="26"/>
      <c r="C252" s="19" t="s">
        <v>83</v>
      </c>
      <c r="D252" s="20">
        <f>SUM(D253:D255)</f>
        <v>0</v>
      </c>
      <c r="E252" s="15"/>
    </row>
    <row r="253" spans="1:5" ht="12.75">
      <c r="A253" s="21"/>
      <c r="B253" s="27">
        <v>4210</v>
      </c>
      <c r="C253" s="18" t="s">
        <v>14</v>
      </c>
      <c r="D253" s="22"/>
      <c r="E253" s="15"/>
    </row>
    <row r="254" spans="1:5" ht="12.75">
      <c r="A254" s="21"/>
      <c r="B254" s="27">
        <v>4300</v>
      </c>
      <c r="C254" s="18" t="s">
        <v>15</v>
      </c>
      <c r="D254" s="22"/>
      <c r="E254" s="15"/>
    </row>
    <row r="255" spans="1:5" ht="12.75">
      <c r="A255" s="21"/>
      <c r="B255" s="27">
        <v>4410</v>
      </c>
      <c r="C255" s="18" t="s">
        <v>48</v>
      </c>
      <c r="D255" s="22"/>
      <c r="E255" s="15"/>
    </row>
    <row r="256" spans="1:5" ht="12.75">
      <c r="A256" s="31">
        <v>80148</v>
      </c>
      <c r="B256" s="26"/>
      <c r="C256" s="19" t="s">
        <v>84</v>
      </c>
      <c r="D256" s="20">
        <f>SUM(D257:D271)</f>
        <v>0</v>
      </c>
      <c r="E256" s="15"/>
    </row>
    <row r="257" spans="1:5" ht="25.5">
      <c r="A257" s="31"/>
      <c r="B257" s="27">
        <v>3020</v>
      </c>
      <c r="C257" s="18" t="s">
        <v>73</v>
      </c>
      <c r="D257" s="22"/>
      <c r="E257" s="15"/>
    </row>
    <row r="258" spans="1:5" ht="12.75">
      <c r="A258" s="31"/>
      <c r="B258" s="27">
        <v>4010</v>
      </c>
      <c r="C258" s="18" t="s">
        <v>37</v>
      </c>
      <c r="D258" s="22"/>
      <c r="E258" s="15"/>
    </row>
    <row r="259" spans="1:5" ht="12.75">
      <c r="A259" s="31"/>
      <c r="B259" s="27">
        <v>4040</v>
      </c>
      <c r="C259" s="18" t="s">
        <v>38</v>
      </c>
      <c r="D259" s="22"/>
      <c r="E259" s="15"/>
    </row>
    <row r="260" spans="1:5" ht="12.75">
      <c r="A260" s="31"/>
      <c r="B260" s="27">
        <v>4110</v>
      </c>
      <c r="C260" s="18" t="s">
        <v>39</v>
      </c>
      <c r="D260" s="22"/>
      <c r="E260" s="15"/>
    </row>
    <row r="261" spans="1:5" ht="12.75">
      <c r="A261" s="31"/>
      <c r="B261" s="27">
        <v>4120</v>
      </c>
      <c r="C261" s="18" t="s">
        <v>40</v>
      </c>
      <c r="D261" s="22"/>
      <c r="E261" s="15"/>
    </row>
    <row r="262" spans="1:5" ht="12.75">
      <c r="A262" s="31"/>
      <c r="B262" s="27">
        <v>4210</v>
      </c>
      <c r="C262" s="18" t="s">
        <v>14</v>
      </c>
      <c r="D262" s="22"/>
      <c r="E262" s="15"/>
    </row>
    <row r="263" spans="1:5" ht="12.75">
      <c r="A263" s="31"/>
      <c r="B263" s="27">
        <v>4220</v>
      </c>
      <c r="C263" s="18" t="s">
        <v>78</v>
      </c>
      <c r="D263" s="22"/>
      <c r="E263" s="15"/>
    </row>
    <row r="264" spans="1:5" ht="12.75">
      <c r="A264" s="31"/>
      <c r="B264" s="27">
        <v>4270</v>
      </c>
      <c r="C264" s="18" t="s">
        <v>24</v>
      </c>
      <c r="D264" s="22"/>
      <c r="E264" s="15"/>
    </row>
    <row r="265" spans="1:5" ht="12.75">
      <c r="A265" s="31"/>
      <c r="B265" s="27">
        <v>4280</v>
      </c>
      <c r="C265" s="18" t="s">
        <v>44</v>
      </c>
      <c r="D265" s="22"/>
      <c r="E265" s="15"/>
    </row>
    <row r="266" spans="1:5" ht="12.75">
      <c r="A266" s="31"/>
      <c r="B266" s="27">
        <v>4300</v>
      </c>
      <c r="C266" s="18" t="s">
        <v>15</v>
      </c>
      <c r="D266" s="22"/>
      <c r="E266" s="15"/>
    </row>
    <row r="267" spans="1:5" ht="12.75">
      <c r="A267" s="31"/>
      <c r="B267" s="27">
        <v>4410</v>
      </c>
      <c r="C267" s="18" t="s">
        <v>48</v>
      </c>
      <c r="D267" s="22"/>
      <c r="E267" s="15"/>
    </row>
    <row r="268" spans="1:5" ht="12.75">
      <c r="A268" s="31"/>
      <c r="B268" s="27">
        <v>4430</v>
      </c>
      <c r="C268" s="18" t="s">
        <v>16</v>
      </c>
      <c r="D268" s="22"/>
      <c r="E268" s="15"/>
    </row>
    <row r="269" spans="1:5" ht="25.5">
      <c r="A269" s="31"/>
      <c r="B269" s="27">
        <v>4440</v>
      </c>
      <c r="C269" s="18" t="s">
        <v>50</v>
      </c>
      <c r="D269" s="22"/>
      <c r="E269" s="15"/>
    </row>
    <row r="270" spans="1:5" ht="25.5">
      <c r="A270" s="31"/>
      <c r="B270" s="27">
        <v>4740</v>
      </c>
      <c r="C270" s="18" t="s">
        <v>52</v>
      </c>
      <c r="D270" s="22"/>
      <c r="E270" s="15"/>
    </row>
    <row r="271" spans="1:5" ht="25.5">
      <c r="A271" s="31"/>
      <c r="B271" s="27">
        <v>4750</v>
      </c>
      <c r="C271" s="18" t="s">
        <v>53</v>
      </c>
      <c r="D271" s="22"/>
      <c r="E271" s="15"/>
    </row>
    <row r="272" spans="1:5" ht="12.75">
      <c r="A272" s="31">
        <v>80195</v>
      </c>
      <c r="B272" s="26"/>
      <c r="C272" s="19" t="s">
        <v>13</v>
      </c>
      <c r="D272" s="20">
        <f>SUM(D273:D274)</f>
        <v>0</v>
      </c>
      <c r="E272" s="15"/>
    </row>
    <row r="273" spans="1:5" ht="12.75">
      <c r="A273" s="31"/>
      <c r="B273" s="27">
        <v>4300</v>
      </c>
      <c r="C273" s="27" t="s">
        <v>15</v>
      </c>
      <c r="D273" s="22"/>
      <c r="E273" s="15"/>
    </row>
    <row r="274" spans="1:5" ht="26.25" thickBot="1">
      <c r="A274" s="66"/>
      <c r="B274" s="56">
        <v>4440</v>
      </c>
      <c r="C274" s="57" t="s">
        <v>50</v>
      </c>
      <c r="D274" s="58"/>
      <c r="E274" s="15"/>
    </row>
    <row r="275" spans="1:5" ht="13.5" thickBot="1">
      <c r="A275" s="62">
        <v>851</v>
      </c>
      <c r="B275" s="63"/>
      <c r="C275" s="64" t="s">
        <v>85</v>
      </c>
      <c r="D275" s="65">
        <f>SUM(D276,D279)</f>
        <v>0</v>
      </c>
      <c r="E275" s="15"/>
    </row>
    <row r="276" spans="1:5" ht="12.75">
      <c r="A276" s="59">
        <v>85153</v>
      </c>
      <c r="B276" s="60"/>
      <c r="C276" s="60" t="s">
        <v>86</v>
      </c>
      <c r="D276" s="28">
        <f>SUM(D277:D278)</f>
        <v>0</v>
      </c>
      <c r="E276" s="15"/>
    </row>
    <row r="277" spans="1:5" ht="12.75">
      <c r="A277" s="21"/>
      <c r="B277" s="27">
        <v>4210</v>
      </c>
      <c r="C277" s="27" t="s">
        <v>14</v>
      </c>
      <c r="D277" s="22"/>
      <c r="E277" s="15"/>
    </row>
    <row r="278" spans="1:5" ht="12.75">
      <c r="A278" s="21"/>
      <c r="B278" s="27">
        <v>4300</v>
      </c>
      <c r="C278" s="27" t="s">
        <v>15</v>
      </c>
      <c r="D278" s="22"/>
      <c r="E278" s="15"/>
    </row>
    <row r="279" spans="1:5" ht="12.75">
      <c r="A279" s="31">
        <v>85154</v>
      </c>
      <c r="B279" s="26"/>
      <c r="C279" s="19" t="s">
        <v>87</v>
      </c>
      <c r="D279" s="20">
        <f>SUM(D280:D290)</f>
        <v>0</v>
      </c>
      <c r="E279" s="15"/>
    </row>
    <row r="280" spans="1:5" ht="38.25">
      <c r="A280" s="31"/>
      <c r="B280" s="27">
        <v>2710</v>
      </c>
      <c r="C280" s="18" t="s">
        <v>22</v>
      </c>
      <c r="D280" s="22"/>
      <c r="E280" s="15"/>
    </row>
    <row r="281" spans="1:5" ht="38.25">
      <c r="A281" s="31"/>
      <c r="B281" s="27">
        <v>2820</v>
      </c>
      <c r="C281" s="18" t="s">
        <v>59</v>
      </c>
      <c r="D281" s="22"/>
      <c r="E281" s="15"/>
    </row>
    <row r="282" spans="1:5" ht="12.75">
      <c r="A282" s="31"/>
      <c r="B282" s="27">
        <v>4110</v>
      </c>
      <c r="C282" s="18" t="s">
        <v>39</v>
      </c>
      <c r="D282" s="22"/>
      <c r="E282" s="15"/>
    </row>
    <row r="283" spans="1:5" ht="12.75">
      <c r="A283" s="31"/>
      <c r="B283" s="27">
        <v>4120</v>
      </c>
      <c r="C283" s="18" t="s">
        <v>40</v>
      </c>
      <c r="D283" s="22"/>
      <c r="E283" s="15"/>
    </row>
    <row r="284" spans="1:5" ht="12.75">
      <c r="A284" s="31"/>
      <c r="B284" s="27">
        <v>4170</v>
      </c>
      <c r="C284" s="18" t="s">
        <v>42</v>
      </c>
      <c r="D284" s="22"/>
      <c r="E284" s="15"/>
    </row>
    <row r="285" spans="1:5" ht="12.75">
      <c r="A285" s="31"/>
      <c r="B285" s="27">
        <v>4210</v>
      </c>
      <c r="C285" s="18" t="s">
        <v>14</v>
      </c>
      <c r="D285" s="22"/>
      <c r="E285" s="15"/>
    </row>
    <row r="286" spans="1:5" ht="12.75">
      <c r="A286" s="31"/>
      <c r="B286" s="27">
        <v>4260</v>
      </c>
      <c r="C286" s="18" t="s">
        <v>43</v>
      </c>
      <c r="D286" s="22"/>
      <c r="E286" s="15"/>
    </row>
    <row r="287" spans="1:5" ht="12.75">
      <c r="A287" s="31"/>
      <c r="B287" s="27">
        <v>4300</v>
      </c>
      <c r="C287" s="18" t="s">
        <v>15</v>
      </c>
      <c r="D287" s="22"/>
      <c r="E287" s="15"/>
    </row>
    <row r="288" spans="1:5" ht="25.5">
      <c r="A288" s="31"/>
      <c r="B288" s="27">
        <v>4370</v>
      </c>
      <c r="C288" s="18" t="s">
        <v>47</v>
      </c>
      <c r="D288" s="22"/>
      <c r="E288" s="15"/>
    </row>
    <row r="289" spans="1:5" ht="12.75">
      <c r="A289" s="31"/>
      <c r="B289" s="27">
        <v>4410</v>
      </c>
      <c r="C289" s="18" t="s">
        <v>48</v>
      </c>
      <c r="D289" s="22"/>
      <c r="E289" s="15"/>
    </row>
    <row r="290" spans="1:5" ht="26.25" thickBot="1">
      <c r="A290" s="67"/>
      <c r="B290" s="56">
        <v>4740</v>
      </c>
      <c r="C290" s="57" t="s">
        <v>52</v>
      </c>
      <c r="D290" s="58"/>
      <c r="E290" s="15"/>
    </row>
    <row r="291" spans="1:5" ht="13.5" thickBot="1">
      <c r="A291" s="62">
        <v>852</v>
      </c>
      <c r="B291" s="63"/>
      <c r="C291" s="64" t="s">
        <v>88</v>
      </c>
      <c r="D291" s="65">
        <f>SUM(D292,D294,D296,D298,D317)</f>
        <v>0</v>
      </c>
      <c r="E291" s="15"/>
    </row>
    <row r="292" spans="1:5" ht="12.75">
      <c r="A292" s="59">
        <v>85202</v>
      </c>
      <c r="B292" s="60"/>
      <c r="C292" s="61" t="s">
        <v>89</v>
      </c>
      <c r="D292" s="28">
        <f>SUM(D293)</f>
        <v>0</v>
      </c>
      <c r="E292" s="15"/>
    </row>
    <row r="293" spans="1:6" ht="38.25">
      <c r="A293" s="31"/>
      <c r="B293" s="27">
        <v>4330</v>
      </c>
      <c r="C293" s="18" t="s">
        <v>122</v>
      </c>
      <c r="D293" s="22"/>
      <c r="E293" s="77"/>
      <c r="F293" s="16"/>
    </row>
    <row r="294" spans="1:6" ht="25.5">
      <c r="A294" s="31">
        <v>85214</v>
      </c>
      <c r="B294" s="26"/>
      <c r="C294" s="19" t="s">
        <v>90</v>
      </c>
      <c r="D294" s="20">
        <f>SUM(D295:D295)</f>
        <v>0</v>
      </c>
      <c r="E294" s="78"/>
      <c r="F294" s="17"/>
    </row>
    <row r="295" spans="1:6" ht="12.75">
      <c r="A295" s="21"/>
      <c r="B295" s="27">
        <v>3110</v>
      </c>
      <c r="C295" s="18" t="s">
        <v>91</v>
      </c>
      <c r="D295" s="22"/>
      <c r="E295" s="77"/>
      <c r="F295" s="16"/>
    </row>
    <row r="296" spans="1:6" ht="12.75">
      <c r="A296" s="31">
        <v>85215</v>
      </c>
      <c r="B296" s="26"/>
      <c r="C296" s="19" t="s">
        <v>92</v>
      </c>
      <c r="D296" s="20">
        <f>SUM(D297)</f>
        <v>0</v>
      </c>
      <c r="E296" s="77"/>
      <c r="F296" s="16"/>
    </row>
    <row r="297" spans="1:6" ht="12.75">
      <c r="A297" s="21"/>
      <c r="B297" s="27">
        <v>3110</v>
      </c>
      <c r="C297" s="18" t="s">
        <v>91</v>
      </c>
      <c r="D297" s="22"/>
      <c r="E297" s="78"/>
      <c r="F297" s="17"/>
    </row>
    <row r="298" spans="1:6" ht="12.75">
      <c r="A298" s="31">
        <v>85219</v>
      </c>
      <c r="B298" s="26"/>
      <c r="C298" s="19" t="s">
        <v>93</v>
      </c>
      <c r="D298" s="20">
        <f>SUM(D299:D316)</f>
        <v>0</v>
      </c>
      <c r="E298" s="77"/>
      <c r="F298" s="16"/>
    </row>
    <row r="299" spans="1:6" ht="25.5">
      <c r="A299" s="21"/>
      <c r="B299" s="27">
        <v>3020</v>
      </c>
      <c r="C299" s="18" t="s">
        <v>73</v>
      </c>
      <c r="D299" s="22"/>
      <c r="E299" s="78"/>
      <c r="F299" s="17"/>
    </row>
    <row r="300" spans="1:6" ht="12.75">
      <c r="A300" s="21"/>
      <c r="B300" s="27">
        <v>4010</v>
      </c>
      <c r="C300" s="18" t="s">
        <v>37</v>
      </c>
      <c r="D300" s="22"/>
      <c r="E300" s="77"/>
      <c r="F300" s="16"/>
    </row>
    <row r="301" spans="1:6" ht="12.75">
      <c r="A301" s="21"/>
      <c r="B301" s="27">
        <v>4040</v>
      </c>
      <c r="C301" s="18" t="s">
        <v>38</v>
      </c>
      <c r="D301" s="22"/>
      <c r="E301" s="77"/>
      <c r="F301" s="16"/>
    </row>
    <row r="302" spans="1:6" ht="12.75">
      <c r="A302" s="21"/>
      <c r="B302" s="27">
        <v>4110</v>
      </c>
      <c r="C302" s="18" t="s">
        <v>39</v>
      </c>
      <c r="D302" s="22"/>
      <c r="E302" s="77"/>
      <c r="F302" s="16"/>
    </row>
    <row r="303" spans="1:6" ht="12.75">
      <c r="A303" s="21"/>
      <c r="B303" s="27">
        <v>4120</v>
      </c>
      <c r="C303" s="18" t="s">
        <v>40</v>
      </c>
      <c r="D303" s="22"/>
      <c r="E303" s="77"/>
      <c r="F303" s="16"/>
    </row>
    <row r="304" spans="1:6" ht="12.75">
      <c r="A304" s="21"/>
      <c r="B304" s="27">
        <v>4170</v>
      </c>
      <c r="C304" s="18" t="s">
        <v>42</v>
      </c>
      <c r="D304" s="22"/>
      <c r="E304" s="77"/>
      <c r="F304" s="16"/>
    </row>
    <row r="305" spans="1:6" ht="12.75">
      <c r="A305" s="21"/>
      <c r="B305" s="27">
        <v>4210</v>
      </c>
      <c r="C305" s="18" t="s">
        <v>14</v>
      </c>
      <c r="D305" s="22"/>
      <c r="E305" s="78"/>
      <c r="F305" s="17"/>
    </row>
    <row r="306" spans="1:6" ht="12.75">
      <c r="A306" s="21"/>
      <c r="B306" s="27">
        <v>4260</v>
      </c>
      <c r="C306" s="18" t="s">
        <v>43</v>
      </c>
      <c r="D306" s="22"/>
      <c r="E306" s="77"/>
      <c r="F306" s="16"/>
    </row>
    <row r="307" spans="1:6" ht="12.75">
      <c r="A307" s="21"/>
      <c r="B307" s="27">
        <v>4270</v>
      </c>
      <c r="C307" s="18" t="s">
        <v>24</v>
      </c>
      <c r="D307" s="22"/>
      <c r="E307" s="77"/>
      <c r="F307" s="16"/>
    </row>
    <row r="308" spans="1:6" ht="12.75">
      <c r="A308" s="21"/>
      <c r="B308" s="27">
        <v>4280</v>
      </c>
      <c r="C308" s="18" t="s">
        <v>44</v>
      </c>
      <c r="D308" s="22"/>
      <c r="E308" s="77"/>
      <c r="F308" s="16"/>
    </row>
    <row r="309" spans="1:6" ht="12.75">
      <c r="A309" s="21"/>
      <c r="B309" s="27">
        <v>4300</v>
      </c>
      <c r="C309" s="18" t="s">
        <v>15</v>
      </c>
      <c r="D309" s="22"/>
      <c r="E309" s="77"/>
      <c r="F309" s="16"/>
    </row>
    <row r="310" spans="1:6" ht="12.75">
      <c r="A310" s="21"/>
      <c r="B310" s="27">
        <v>4350</v>
      </c>
      <c r="C310" s="18" t="s">
        <v>45</v>
      </c>
      <c r="D310" s="22"/>
      <c r="E310" s="77"/>
      <c r="F310" s="16"/>
    </row>
    <row r="311" spans="1:5" ht="25.5">
      <c r="A311" s="21"/>
      <c r="B311" s="27">
        <v>4370</v>
      </c>
      <c r="C311" s="18" t="s">
        <v>47</v>
      </c>
      <c r="D311" s="22"/>
      <c r="E311" s="15"/>
    </row>
    <row r="312" spans="1:5" ht="12.75">
      <c r="A312" s="21"/>
      <c r="B312" s="27">
        <v>4410</v>
      </c>
      <c r="C312" s="18" t="s">
        <v>48</v>
      </c>
      <c r="D312" s="22"/>
      <c r="E312" s="15"/>
    </row>
    <row r="313" spans="1:5" ht="25.5">
      <c r="A313" s="21"/>
      <c r="B313" s="27">
        <v>4440</v>
      </c>
      <c r="C313" s="18" t="s">
        <v>50</v>
      </c>
      <c r="D313" s="22"/>
      <c r="E313" s="15"/>
    </row>
    <row r="314" spans="1:5" ht="25.5">
      <c r="A314" s="21"/>
      <c r="B314" s="27">
        <v>4700</v>
      </c>
      <c r="C314" s="18" t="s">
        <v>51</v>
      </c>
      <c r="D314" s="22"/>
      <c r="E314" s="15"/>
    </row>
    <row r="315" spans="1:5" ht="25.5">
      <c r="A315" s="21"/>
      <c r="B315" s="27">
        <v>4740</v>
      </c>
      <c r="C315" s="18" t="s">
        <v>52</v>
      </c>
      <c r="D315" s="22"/>
      <c r="E315" s="15"/>
    </row>
    <row r="316" spans="1:5" ht="25.5">
      <c r="A316" s="21"/>
      <c r="B316" s="27">
        <v>4750</v>
      </c>
      <c r="C316" s="18" t="s">
        <v>53</v>
      </c>
      <c r="D316" s="22"/>
      <c r="E316" s="15"/>
    </row>
    <row r="317" spans="1:5" ht="12.75">
      <c r="A317" s="31">
        <v>85295</v>
      </c>
      <c r="B317" s="26"/>
      <c r="C317" s="19" t="s">
        <v>13</v>
      </c>
      <c r="D317" s="20">
        <f>SUM(D318:D319)</f>
        <v>0</v>
      </c>
      <c r="E317" s="15"/>
    </row>
    <row r="318" spans="1:7" ht="33.75">
      <c r="A318" s="52"/>
      <c r="B318" s="27">
        <v>2820</v>
      </c>
      <c r="C318" s="44" t="s">
        <v>59</v>
      </c>
      <c r="D318" s="22"/>
      <c r="E318" s="76"/>
      <c r="F318" s="13"/>
      <c r="G318" s="13"/>
    </row>
    <row r="319" spans="1:5" ht="13.5" thickBot="1">
      <c r="A319" s="66"/>
      <c r="B319" s="56">
        <v>3110</v>
      </c>
      <c r="C319" s="57" t="s">
        <v>91</v>
      </c>
      <c r="D319" s="58"/>
      <c r="E319" s="15"/>
    </row>
    <row r="320" spans="1:5" ht="13.5" thickBot="1">
      <c r="A320" s="62">
        <v>854</v>
      </c>
      <c r="B320" s="63"/>
      <c r="C320" s="64" t="s">
        <v>94</v>
      </c>
      <c r="D320" s="65">
        <f>SUM(D321)</f>
        <v>0</v>
      </c>
      <c r="E320" s="15"/>
    </row>
    <row r="321" spans="1:5" ht="12.75">
      <c r="A321" s="59">
        <v>85401</v>
      </c>
      <c r="B321" s="60"/>
      <c r="C321" s="61" t="s">
        <v>95</v>
      </c>
      <c r="D321" s="28">
        <f>SUM(D322:D336)</f>
        <v>0</v>
      </c>
      <c r="E321" s="15"/>
    </row>
    <row r="322" spans="1:5" ht="25.5">
      <c r="A322" s="21"/>
      <c r="B322" s="27">
        <v>3020</v>
      </c>
      <c r="C322" s="18" t="s">
        <v>73</v>
      </c>
      <c r="D322" s="22"/>
      <c r="E322" s="15"/>
    </row>
    <row r="323" spans="1:5" ht="12.75">
      <c r="A323" s="21"/>
      <c r="B323" s="27">
        <v>4010</v>
      </c>
      <c r="C323" s="18" t="s">
        <v>37</v>
      </c>
      <c r="D323" s="22"/>
      <c r="E323" s="15"/>
    </row>
    <row r="324" spans="1:5" ht="12.75">
      <c r="A324" s="21"/>
      <c r="B324" s="27">
        <v>4040</v>
      </c>
      <c r="C324" s="18" t="s">
        <v>38</v>
      </c>
      <c r="D324" s="22"/>
      <c r="E324" s="15"/>
    </row>
    <row r="325" spans="1:5" ht="12.75">
      <c r="A325" s="21"/>
      <c r="B325" s="27">
        <v>4110</v>
      </c>
      <c r="C325" s="18" t="s">
        <v>39</v>
      </c>
      <c r="D325" s="22"/>
      <c r="E325" s="15"/>
    </row>
    <row r="326" spans="1:5" ht="12.75">
      <c r="A326" s="21"/>
      <c r="B326" s="27">
        <v>4120</v>
      </c>
      <c r="C326" s="18" t="s">
        <v>40</v>
      </c>
      <c r="D326" s="22"/>
      <c r="E326" s="15"/>
    </row>
    <row r="327" spans="1:5" ht="12.75">
      <c r="A327" s="21"/>
      <c r="B327" s="27">
        <v>4170</v>
      </c>
      <c r="C327" s="18" t="s">
        <v>42</v>
      </c>
      <c r="D327" s="22"/>
      <c r="E327" s="15"/>
    </row>
    <row r="328" spans="1:5" ht="12.75">
      <c r="A328" s="21"/>
      <c r="B328" s="27">
        <v>4210</v>
      </c>
      <c r="C328" s="18" t="s">
        <v>14</v>
      </c>
      <c r="D328" s="22"/>
      <c r="E328" s="15"/>
    </row>
    <row r="329" spans="1:5" ht="12.75">
      <c r="A329" s="21"/>
      <c r="B329" s="27">
        <v>4240</v>
      </c>
      <c r="C329" s="18" t="s">
        <v>76</v>
      </c>
      <c r="D329" s="22"/>
      <c r="E329" s="15"/>
    </row>
    <row r="330" spans="1:5" ht="12.75">
      <c r="A330" s="21"/>
      <c r="B330" s="27">
        <v>4270</v>
      </c>
      <c r="C330" s="18" t="s">
        <v>24</v>
      </c>
      <c r="D330" s="22"/>
      <c r="E330" s="15"/>
    </row>
    <row r="331" spans="1:5" ht="12.75">
      <c r="A331" s="21"/>
      <c r="B331" s="27">
        <v>4280</v>
      </c>
      <c r="C331" s="18" t="s">
        <v>44</v>
      </c>
      <c r="D331" s="22"/>
      <c r="E331" s="15"/>
    </row>
    <row r="332" spans="1:5" ht="12.75">
      <c r="A332" s="21"/>
      <c r="B332" s="27">
        <v>4300</v>
      </c>
      <c r="C332" s="18" t="s">
        <v>15</v>
      </c>
      <c r="D332" s="22"/>
      <c r="E332" s="15"/>
    </row>
    <row r="333" spans="1:5" ht="12.75">
      <c r="A333" s="21"/>
      <c r="B333" s="27">
        <v>4410</v>
      </c>
      <c r="C333" s="18" t="s">
        <v>48</v>
      </c>
      <c r="D333" s="22"/>
      <c r="E333" s="15"/>
    </row>
    <row r="334" spans="1:5" ht="25.5">
      <c r="A334" s="21"/>
      <c r="B334" s="27">
        <v>4440</v>
      </c>
      <c r="C334" s="18" t="s">
        <v>50</v>
      </c>
      <c r="D334" s="22"/>
      <c r="E334" s="15"/>
    </row>
    <row r="335" spans="1:5" ht="25.5">
      <c r="A335" s="21"/>
      <c r="B335" s="27">
        <v>4740</v>
      </c>
      <c r="C335" s="18" t="s">
        <v>52</v>
      </c>
      <c r="D335" s="22"/>
      <c r="E335" s="15"/>
    </row>
    <row r="336" spans="1:5" ht="26.25" thickBot="1">
      <c r="A336" s="66"/>
      <c r="B336" s="56">
        <v>6060</v>
      </c>
      <c r="C336" s="57" t="s">
        <v>61</v>
      </c>
      <c r="D336" s="58"/>
      <c r="E336" s="15"/>
    </row>
    <row r="337" spans="1:5" ht="26.25" thickBot="1">
      <c r="A337" s="62">
        <v>900</v>
      </c>
      <c r="B337" s="63"/>
      <c r="C337" s="64" t="s">
        <v>96</v>
      </c>
      <c r="D337" s="65">
        <f>SUM(D338,D340,D343,D345,D347,D352,D354)</f>
        <v>335000</v>
      </c>
      <c r="E337" s="15"/>
    </row>
    <row r="338" spans="1:5" ht="12.75">
      <c r="A338" s="59">
        <v>90001</v>
      </c>
      <c r="B338" s="60"/>
      <c r="C338" s="61" t="s">
        <v>125</v>
      </c>
      <c r="D338" s="28">
        <f>D339</f>
        <v>0</v>
      </c>
      <c r="E338" s="15"/>
    </row>
    <row r="339" spans="1:5" ht="12.75">
      <c r="A339" s="31"/>
      <c r="B339" s="27">
        <v>4260</v>
      </c>
      <c r="C339" s="18" t="s">
        <v>43</v>
      </c>
      <c r="D339" s="22"/>
      <c r="E339" s="15"/>
    </row>
    <row r="340" spans="1:5" ht="12.75">
      <c r="A340" s="31">
        <v>90002</v>
      </c>
      <c r="B340" s="26"/>
      <c r="C340" s="19" t="s">
        <v>97</v>
      </c>
      <c r="D340" s="20">
        <f>SUM(D341:D342)</f>
        <v>15000</v>
      </c>
      <c r="E340" s="15"/>
    </row>
    <row r="341" spans="1:5" ht="12.75">
      <c r="A341" s="31"/>
      <c r="B341" s="27">
        <v>4300</v>
      </c>
      <c r="C341" s="18" t="s">
        <v>15</v>
      </c>
      <c r="D341" s="22"/>
      <c r="E341" s="15"/>
    </row>
    <row r="342" spans="1:5" ht="63.75">
      <c r="A342" s="21"/>
      <c r="B342" s="27">
        <v>6659</v>
      </c>
      <c r="C342" s="18" t="s">
        <v>8</v>
      </c>
      <c r="D342" s="22">
        <v>15000</v>
      </c>
      <c r="E342" s="15"/>
    </row>
    <row r="343" spans="1:5" ht="12.75">
      <c r="A343" s="31">
        <v>90003</v>
      </c>
      <c r="B343" s="26"/>
      <c r="C343" s="19" t="s">
        <v>98</v>
      </c>
      <c r="D343" s="20">
        <f>SUM(D344)</f>
        <v>0</v>
      </c>
      <c r="E343" s="15"/>
    </row>
    <row r="344" spans="1:5" ht="12.75">
      <c r="A344" s="21"/>
      <c r="B344" s="27">
        <v>4300</v>
      </c>
      <c r="C344" s="18" t="s">
        <v>15</v>
      </c>
      <c r="D344" s="22"/>
      <c r="E344" s="15"/>
    </row>
    <row r="345" spans="1:5" ht="12.75">
      <c r="A345" s="31">
        <v>90004</v>
      </c>
      <c r="B345" s="26"/>
      <c r="C345" s="19" t="s">
        <v>99</v>
      </c>
      <c r="D345" s="20">
        <f>SUM(D346:D346)</f>
        <v>0</v>
      </c>
      <c r="E345" s="15"/>
    </row>
    <row r="346" spans="1:5" ht="12.75">
      <c r="A346" s="21"/>
      <c r="B346" s="27">
        <v>4300</v>
      </c>
      <c r="C346" s="18" t="s">
        <v>15</v>
      </c>
      <c r="D346" s="22"/>
      <c r="E346" s="15"/>
    </row>
    <row r="347" spans="1:5" ht="12.75">
      <c r="A347" s="31">
        <v>90015</v>
      </c>
      <c r="B347" s="26"/>
      <c r="C347" s="19" t="s">
        <v>100</v>
      </c>
      <c r="D347" s="20">
        <f>SUM(D348:D350)</f>
        <v>220000</v>
      </c>
      <c r="E347" s="15"/>
    </row>
    <row r="348" spans="1:5" ht="12.75">
      <c r="A348" s="21"/>
      <c r="B348" s="27">
        <v>4260</v>
      </c>
      <c r="C348" s="18" t="s">
        <v>43</v>
      </c>
      <c r="D348" s="22"/>
      <c r="E348" s="15"/>
    </row>
    <row r="349" spans="1:5" ht="12.75">
      <c r="A349" s="21"/>
      <c r="B349" s="27">
        <v>4300</v>
      </c>
      <c r="C349" s="18" t="s">
        <v>15</v>
      </c>
      <c r="D349" s="22"/>
      <c r="E349" s="15"/>
    </row>
    <row r="350" spans="1:5" ht="12.75">
      <c r="A350" s="21"/>
      <c r="B350" s="27">
        <v>6050</v>
      </c>
      <c r="C350" s="18" t="s">
        <v>26</v>
      </c>
      <c r="D350" s="22">
        <v>220000</v>
      </c>
      <c r="E350" s="15"/>
    </row>
    <row r="351" spans="1:5" ht="12.75">
      <c r="A351" s="21"/>
      <c r="B351" s="27"/>
      <c r="C351" s="18"/>
      <c r="D351" s="22"/>
      <c r="E351" s="15"/>
    </row>
    <row r="352" spans="1:5" ht="12.75">
      <c r="A352" s="31">
        <v>90017</v>
      </c>
      <c r="B352" s="26"/>
      <c r="C352" s="19" t="s">
        <v>101</v>
      </c>
      <c r="D352" s="20">
        <f>SUM(D353:D353)</f>
        <v>100000</v>
      </c>
      <c r="E352" s="15"/>
    </row>
    <row r="353" spans="1:7" ht="33.75">
      <c r="A353" s="51"/>
      <c r="B353" s="27">
        <v>6210</v>
      </c>
      <c r="C353" s="44" t="s">
        <v>102</v>
      </c>
      <c r="D353" s="22">
        <v>100000</v>
      </c>
      <c r="E353" s="76"/>
      <c r="F353" s="13"/>
      <c r="G353" s="13"/>
    </row>
    <row r="354" spans="1:5" ht="12.75">
      <c r="A354" s="31">
        <v>90095</v>
      </c>
      <c r="B354" s="26"/>
      <c r="C354" s="19" t="s">
        <v>13</v>
      </c>
      <c r="D354" s="20">
        <f>SUM(D355:D359)</f>
        <v>0</v>
      </c>
      <c r="E354" s="15"/>
    </row>
    <row r="355" spans="1:7" ht="45">
      <c r="A355" s="51"/>
      <c r="B355" s="27">
        <v>2900</v>
      </c>
      <c r="C355" s="44" t="s">
        <v>103</v>
      </c>
      <c r="D355" s="22"/>
      <c r="E355" s="76"/>
      <c r="F355" s="13"/>
      <c r="G355" s="13"/>
    </row>
    <row r="356" spans="1:5" ht="12.75">
      <c r="A356" s="21"/>
      <c r="B356" s="27">
        <v>4210</v>
      </c>
      <c r="C356" s="18" t="s">
        <v>14</v>
      </c>
      <c r="D356" s="22"/>
      <c r="E356" s="15"/>
    </row>
    <row r="357" spans="1:5" ht="12.75">
      <c r="A357" s="21"/>
      <c r="B357" s="27">
        <v>4260</v>
      </c>
      <c r="C357" s="18" t="s">
        <v>43</v>
      </c>
      <c r="D357" s="22"/>
      <c r="E357" s="15"/>
    </row>
    <row r="358" spans="1:5" ht="12.75">
      <c r="A358" s="21"/>
      <c r="B358" s="27">
        <v>4300</v>
      </c>
      <c r="C358" s="18" t="s">
        <v>15</v>
      </c>
      <c r="D358" s="22"/>
      <c r="E358" s="15"/>
    </row>
    <row r="359" spans="1:5" ht="13.5" thickBot="1">
      <c r="A359" s="66"/>
      <c r="B359" s="56">
        <v>4430</v>
      </c>
      <c r="C359" s="57" t="s">
        <v>16</v>
      </c>
      <c r="D359" s="58"/>
      <c r="E359" s="15"/>
    </row>
    <row r="360" spans="1:5" ht="13.5" thickBot="1">
      <c r="A360" s="62">
        <v>921</v>
      </c>
      <c r="B360" s="63"/>
      <c r="C360" s="64" t="s">
        <v>104</v>
      </c>
      <c r="D360" s="65">
        <f>SUM(D361,D364,D368,D370)</f>
        <v>2300000</v>
      </c>
      <c r="E360" s="15"/>
    </row>
    <row r="361" spans="1:5" ht="12.75">
      <c r="A361" s="59">
        <v>92109</v>
      </c>
      <c r="B361" s="60"/>
      <c r="C361" s="61" t="s">
        <v>105</v>
      </c>
      <c r="D361" s="28">
        <f>D362+D363</f>
        <v>300000</v>
      </c>
      <c r="E361" s="15"/>
    </row>
    <row r="362" spans="1:5" ht="25.5">
      <c r="A362" s="21"/>
      <c r="B362" s="27">
        <v>2480</v>
      </c>
      <c r="C362" s="18" t="s">
        <v>106</v>
      </c>
      <c r="D362" s="22"/>
      <c r="E362" s="15"/>
    </row>
    <row r="363" spans="1:5" ht="12.75">
      <c r="A363" s="21"/>
      <c r="B363" s="27">
        <v>6050</v>
      </c>
      <c r="C363" s="18" t="s">
        <v>26</v>
      </c>
      <c r="D363" s="22">
        <v>300000</v>
      </c>
      <c r="E363" s="76"/>
    </row>
    <row r="364" spans="1:5" ht="12.75">
      <c r="A364" s="31">
        <v>92116</v>
      </c>
      <c r="B364" s="26"/>
      <c r="C364" s="19" t="s">
        <v>107</v>
      </c>
      <c r="D364" s="20">
        <f>D365+D366+D367</f>
        <v>600000</v>
      </c>
      <c r="E364" s="15"/>
    </row>
    <row r="365" spans="1:5" ht="25.5">
      <c r="A365" s="31"/>
      <c r="B365" s="27">
        <v>2480</v>
      </c>
      <c r="C365" s="18" t="s">
        <v>106</v>
      </c>
      <c r="D365" s="22"/>
      <c r="E365" s="15"/>
    </row>
    <row r="366" spans="1:5" ht="12.75">
      <c r="A366" s="31"/>
      <c r="B366" s="27">
        <v>6058</v>
      </c>
      <c r="C366" s="18" t="s">
        <v>26</v>
      </c>
      <c r="D366" s="22">
        <v>300000</v>
      </c>
      <c r="E366" s="15"/>
    </row>
    <row r="367" spans="1:5" ht="12.75">
      <c r="A367" s="31"/>
      <c r="B367" s="27">
        <v>6059</v>
      </c>
      <c r="C367" s="18" t="s">
        <v>26</v>
      </c>
      <c r="D367" s="22">
        <v>300000</v>
      </c>
      <c r="E367" s="15"/>
    </row>
    <row r="368" spans="1:5" ht="12.75">
      <c r="A368" s="31">
        <v>92120</v>
      </c>
      <c r="B368" s="26"/>
      <c r="C368" s="26" t="s">
        <v>132</v>
      </c>
      <c r="D368" s="20">
        <f>D369</f>
        <v>0</v>
      </c>
      <c r="E368" s="15"/>
    </row>
    <row r="369" spans="1:5" ht="38.25">
      <c r="A369" s="31"/>
      <c r="B369" s="27">
        <v>4349</v>
      </c>
      <c r="C369" s="18" t="s">
        <v>139</v>
      </c>
      <c r="D369" s="22"/>
      <c r="E369" s="15"/>
    </row>
    <row r="370" spans="1:5" ht="12.75">
      <c r="A370" s="31">
        <v>92195</v>
      </c>
      <c r="B370" s="26"/>
      <c r="C370" s="26" t="s">
        <v>13</v>
      </c>
      <c r="D370" s="20">
        <f>SUM(D371:D376)</f>
        <v>1400000</v>
      </c>
      <c r="E370" s="15"/>
    </row>
    <row r="371" spans="1:5" ht="12.75">
      <c r="A371" s="21"/>
      <c r="B371" s="27">
        <v>4210</v>
      </c>
      <c r="C371" s="27" t="s">
        <v>14</v>
      </c>
      <c r="D371" s="22"/>
      <c r="E371" s="15"/>
    </row>
    <row r="372" spans="1:5" ht="12.75">
      <c r="A372" s="21"/>
      <c r="B372" s="27">
        <v>4260</v>
      </c>
      <c r="C372" s="18" t="s">
        <v>43</v>
      </c>
      <c r="D372" s="22"/>
      <c r="E372" s="15"/>
    </row>
    <row r="373" spans="1:5" ht="12.75">
      <c r="A373" s="21"/>
      <c r="B373" s="27">
        <v>4270</v>
      </c>
      <c r="C373" s="18" t="s">
        <v>24</v>
      </c>
      <c r="D373" s="22"/>
      <c r="E373" s="15"/>
    </row>
    <row r="374" spans="1:5" ht="12.75">
      <c r="A374" s="21"/>
      <c r="B374" s="27">
        <v>4300</v>
      </c>
      <c r="C374" s="27" t="s">
        <v>15</v>
      </c>
      <c r="D374" s="22"/>
      <c r="E374" s="15"/>
    </row>
    <row r="375" spans="1:5" ht="12.75">
      <c r="A375" s="21"/>
      <c r="B375" s="27">
        <v>6058</v>
      </c>
      <c r="C375" s="18" t="s">
        <v>26</v>
      </c>
      <c r="D375" s="22">
        <v>500000</v>
      </c>
      <c r="E375" s="15"/>
    </row>
    <row r="376" spans="1:5" ht="13.5" thickBot="1">
      <c r="A376" s="66"/>
      <c r="B376" s="56">
        <v>6059</v>
      </c>
      <c r="C376" s="57" t="s">
        <v>26</v>
      </c>
      <c r="D376" s="58">
        <v>900000</v>
      </c>
      <c r="E376" s="76"/>
    </row>
    <row r="377" spans="1:5" ht="13.5" thickBot="1">
      <c r="A377" s="62">
        <v>926</v>
      </c>
      <c r="B377" s="63"/>
      <c r="C377" s="64" t="s">
        <v>108</v>
      </c>
      <c r="D377" s="65">
        <f>SUM(D378,D382)</f>
        <v>60000</v>
      </c>
      <c r="E377" s="15"/>
    </row>
    <row r="378" spans="1:5" ht="12.75">
      <c r="A378" s="59">
        <v>92601</v>
      </c>
      <c r="B378" s="60"/>
      <c r="C378" s="61" t="s">
        <v>109</v>
      </c>
      <c r="D378" s="28">
        <f>SUM(D379:D381)</f>
        <v>60000</v>
      </c>
      <c r="E378" s="15"/>
    </row>
    <row r="379" spans="1:5" ht="12.75">
      <c r="A379" s="31"/>
      <c r="B379" s="27">
        <v>6050</v>
      </c>
      <c r="C379" s="18" t="s">
        <v>26</v>
      </c>
      <c r="D379" s="22">
        <v>60000</v>
      </c>
      <c r="E379" s="15"/>
    </row>
    <row r="380" spans="1:5" ht="12.75">
      <c r="A380" s="31"/>
      <c r="B380" s="27">
        <v>6058</v>
      </c>
      <c r="C380" s="18" t="s">
        <v>26</v>
      </c>
      <c r="D380" s="79">
        <v>0</v>
      </c>
      <c r="E380" s="15"/>
    </row>
    <row r="381" spans="1:5" ht="12.75">
      <c r="A381" s="21"/>
      <c r="B381" s="27">
        <v>6059</v>
      </c>
      <c r="C381" s="18" t="s">
        <v>26</v>
      </c>
      <c r="D381" s="79">
        <v>0</v>
      </c>
      <c r="E381" s="15"/>
    </row>
    <row r="382" spans="1:5" ht="12.75">
      <c r="A382" s="31">
        <v>92605</v>
      </c>
      <c r="B382" s="26"/>
      <c r="C382" s="19" t="s">
        <v>110</v>
      </c>
      <c r="D382" s="20">
        <f>SUM(D383:D391)</f>
        <v>0</v>
      </c>
      <c r="E382" s="15"/>
    </row>
    <row r="383" spans="1:5" ht="25.5">
      <c r="A383" s="31"/>
      <c r="B383" s="27">
        <v>2820</v>
      </c>
      <c r="C383" s="18" t="s">
        <v>111</v>
      </c>
      <c r="D383" s="22"/>
      <c r="E383" s="15"/>
    </row>
    <row r="384" spans="1:5" ht="12.75">
      <c r="A384" s="21"/>
      <c r="B384" s="27">
        <v>4110</v>
      </c>
      <c r="C384" s="18" t="s">
        <v>39</v>
      </c>
      <c r="D384" s="22"/>
      <c r="E384" s="15"/>
    </row>
    <row r="385" spans="1:5" ht="12.75">
      <c r="A385" s="21"/>
      <c r="B385" s="27">
        <v>4120</v>
      </c>
      <c r="C385" s="18" t="s">
        <v>40</v>
      </c>
      <c r="D385" s="22"/>
      <c r="E385" s="15"/>
    </row>
    <row r="386" spans="1:5" ht="12.75">
      <c r="A386" s="21"/>
      <c r="B386" s="27">
        <v>4170</v>
      </c>
      <c r="C386" s="18" t="s">
        <v>42</v>
      </c>
      <c r="D386" s="22"/>
      <c r="E386" s="15"/>
    </row>
    <row r="387" spans="1:5" ht="12.75">
      <c r="A387" s="21"/>
      <c r="B387" s="27">
        <v>4210</v>
      </c>
      <c r="C387" s="18" t="s">
        <v>14</v>
      </c>
      <c r="D387" s="22"/>
      <c r="E387" s="15"/>
    </row>
    <row r="388" spans="1:5" ht="12.75">
      <c r="A388" s="21"/>
      <c r="B388" s="27">
        <v>4260</v>
      </c>
      <c r="C388" s="18" t="s">
        <v>43</v>
      </c>
      <c r="D388" s="22"/>
      <c r="E388" s="15"/>
    </row>
    <row r="389" spans="1:5" ht="12.75">
      <c r="A389" s="21"/>
      <c r="B389" s="27">
        <v>4270</v>
      </c>
      <c r="C389" s="18" t="s">
        <v>24</v>
      </c>
      <c r="D389" s="22"/>
      <c r="E389" s="15"/>
    </row>
    <row r="390" spans="1:5" ht="12.75">
      <c r="A390" s="21"/>
      <c r="B390" s="27">
        <v>4300</v>
      </c>
      <c r="C390" s="18" t="s">
        <v>15</v>
      </c>
      <c r="D390" s="22"/>
      <c r="E390" s="15"/>
    </row>
    <row r="391" spans="1:5" ht="26.25" thickBot="1">
      <c r="A391" s="66"/>
      <c r="B391" s="56">
        <v>4370</v>
      </c>
      <c r="C391" s="57" t="s">
        <v>47</v>
      </c>
      <c r="D391" s="58"/>
      <c r="E391" s="15"/>
    </row>
    <row r="392" spans="1:5" ht="13.5" thickBot="1">
      <c r="A392" s="68"/>
      <c r="B392" s="69"/>
      <c r="C392" s="70" t="s">
        <v>112</v>
      </c>
      <c r="D392" s="71">
        <f>SUM(D393,D400,D405)</f>
        <v>0</v>
      </c>
      <c r="E392" s="15"/>
    </row>
    <row r="393" spans="1:5" ht="13.5" thickBot="1">
      <c r="A393" s="62">
        <v>750</v>
      </c>
      <c r="B393" s="63"/>
      <c r="C393" s="64" t="s">
        <v>32</v>
      </c>
      <c r="D393" s="65">
        <f>SUM(D394)</f>
        <v>0</v>
      </c>
      <c r="E393" s="15"/>
    </row>
    <row r="394" spans="1:5" ht="12.75">
      <c r="A394" s="59">
        <v>75011</v>
      </c>
      <c r="B394" s="60"/>
      <c r="C394" s="61" t="s">
        <v>113</v>
      </c>
      <c r="D394" s="28">
        <f>SUM(D395:D399)</f>
        <v>0</v>
      </c>
      <c r="E394" s="15"/>
    </row>
    <row r="395" spans="1:5" ht="12.75">
      <c r="A395" s="21"/>
      <c r="B395" s="27">
        <v>4010</v>
      </c>
      <c r="C395" s="18" t="s">
        <v>37</v>
      </c>
      <c r="D395" s="22"/>
      <c r="E395" s="15"/>
    </row>
    <row r="396" spans="1:5" ht="12.75">
      <c r="A396" s="21"/>
      <c r="B396" s="27">
        <v>4040</v>
      </c>
      <c r="C396" s="18" t="s">
        <v>38</v>
      </c>
      <c r="D396" s="22"/>
      <c r="E396" s="15"/>
    </row>
    <row r="397" spans="1:5" ht="12.75">
      <c r="A397" s="21"/>
      <c r="B397" s="27">
        <v>4110</v>
      </c>
      <c r="C397" s="18" t="s">
        <v>39</v>
      </c>
      <c r="D397" s="22"/>
      <c r="E397" s="15"/>
    </row>
    <row r="398" spans="1:5" ht="12.75">
      <c r="A398" s="21"/>
      <c r="B398" s="27">
        <v>4120</v>
      </c>
      <c r="C398" s="18" t="s">
        <v>40</v>
      </c>
      <c r="D398" s="22"/>
      <c r="E398" s="15"/>
    </row>
    <row r="399" spans="1:5" ht="26.25" thickBot="1">
      <c r="A399" s="66"/>
      <c r="B399" s="56">
        <v>4440</v>
      </c>
      <c r="C399" s="57" t="s">
        <v>50</v>
      </c>
      <c r="D399" s="58"/>
      <c r="E399" s="15"/>
    </row>
    <row r="400" spans="1:5" ht="39" thickBot="1">
      <c r="A400" s="62">
        <v>751</v>
      </c>
      <c r="B400" s="63"/>
      <c r="C400" s="64" t="s">
        <v>114</v>
      </c>
      <c r="D400" s="65">
        <f>SUM(D401)</f>
        <v>0</v>
      </c>
      <c r="E400" s="15"/>
    </row>
    <row r="401" spans="1:5" ht="25.5">
      <c r="A401" s="59">
        <v>75101</v>
      </c>
      <c r="B401" s="60"/>
      <c r="C401" s="61" t="s">
        <v>115</v>
      </c>
      <c r="D401" s="28">
        <f>SUM(D402:D404)</f>
        <v>0</v>
      </c>
      <c r="E401" s="15"/>
    </row>
    <row r="402" spans="1:5" ht="12.75">
      <c r="A402" s="31"/>
      <c r="B402" s="27">
        <v>4010</v>
      </c>
      <c r="C402" s="27" t="s">
        <v>37</v>
      </c>
      <c r="D402" s="22"/>
      <c r="E402" s="15"/>
    </row>
    <row r="403" spans="1:5" ht="12.75">
      <c r="A403" s="21"/>
      <c r="B403" s="27">
        <v>4110</v>
      </c>
      <c r="C403" s="18" t="s">
        <v>39</v>
      </c>
      <c r="D403" s="22"/>
      <c r="E403" s="15"/>
    </row>
    <row r="404" spans="1:5" ht="13.5" thickBot="1">
      <c r="A404" s="66"/>
      <c r="B404" s="56">
        <v>4120</v>
      </c>
      <c r="C404" s="57" t="s">
        <v>40</v>
      </c>
      <c r="D404" s="58"/>
      <c r="E404" s="15"/>
    </row>
    <row r="405" spans="1:5" ht="13.5" thickBot="1">
      <c r="A405" s="62">
        <v>852</v>
      </c>
      <c r="B405" s="63"/>
      <c r="C405" s="64" t="s">
        <v>88</v>
      </c>
      <c r="D405" s="65">
        <f>SUM(D406,D416,D418)</f>
        <v>0</v>
      </c>
      <c r="E405" s="15"/>
    </row>
    <row r="406" spans="1:5" ht="38.25">
      <c r="A406" s="59">
        <v>85212</v>
      </c>
      <c r="B406" s="60"/>
      <c r="C406" s="61" t="s">
        <v>116</v>
      </c>
      <c r="D406" s="72">
        <f>SUM(D407:D415)</f>
        <v>0</v>
      </c>
      <c r="E406" s="15"/>
    </row>
    <row r="407" spans="1:5" ht="12.75">
      <c r="A407" s="21"/>
      <c r="B407" s="27">
        <v>3110</v>
      </c>
      <c r="C407" s="18" t="s">
        <v>91</v>
      </c>
      <c r="D407" s="22"/>
      <c r="E407" s="15"/>
    </row>
    <row r="408" spans="1:5" ht="12.75">
      <c r="A408" s="21"/>
      <c r="B408" s="27">
        <v>4010</v>
      </c>
      <c r="C408" s="18" t="s">
        <v>37</v>
      </c>
      <c r="D408" s="22"/>
      <c r="E408" s="15"/>
    </row>
    <row r="409" spans="1:5" ht="12.75">
      <c r="A409" s="21"/>
      <c r="B409" s="27">
        <v>4040</v>
      </c>
      <c r="C409" s="18" t="s">
        <v>38</v>
      </c>
      <c r="D409" s="22"/>
      <c r="E409" s="15"/>
    </row>
    <row r="410" spans="1:5" ht="12.75">
      <c r="A410" s="21"/>
      <c r="B410" s="27">
        <v>4110</v>
      </c>
      <c r="C410" s="18" t="s">
        <v>39</v>
      </c>
      <c r="D410" s="22"/>
      <c r="E410" s="15"/>
    </row>
    <row r="411" spans="1:5" ht="12.75">
      <c r="A411" s="21"/>
      <c r="B411" s="27">
        <v>4120</v>
      </c>
      <c r="C411" s="18" t="s">
        <v>40</v>
      </c>
      <c r="D411" s="22"/>
      <c r="E411" s="15"/>
    </row>
    <row r="412" spans="1:5" ht="12.75">
      <c r="A412" s="21"/>
      <c r="B412" s="27">
        <v>4210</v>
      </c>
      <c r="C412" s="18" t="s">
        <v>14</v>
      </c>
      <c r="D412" s="22"/>
      <c r="E412" s="15"/>
    </row>
    <row r="413" spans="1:5" ht="12.75">
      <c r="A413" s="21"/>
      <c r="B413" s="27">
        <v>4300</v>
      </c>
      <c r="C413" s="18" t="s">
        <v>15</v>
      </c>
      <c r="D413" s="22"/>
      <c r="E413" s="15"/>
    </row>
    <row r="414" spans="1:5" ht="12.75">
      <c r="A414" s="21"/>
      <c r="B414" s="27">
        <v>4410</v>
      </c>
      <c r="C414" s="18" t="s">
        <v>48</v>
      </c>
      <c r="D414" s="22"/>
      <c r="E414" s="15"/>
    </row>
    <row r="415" spans="1:5" ht="25.5">
      <c r="A415" s="21"/>
      <c r="B415" s="27">
        <v>4440</v>
      </c>
      <c r="C415" s="18" t="s">
        <v>50</v>
      </c>
      <c r="D415" s="22"/>
      <c r="E415" s="15"/>
    </row>
    <row r="416" spans="1:5" ht="51">
      <c r="A416" s="31">
        <v>85213</v>
      </c>
      <c r="B416" s="26"/>
      <c r="C416" s="19" t="s">
        <v>117</v>
      </c>
      <c r="D416" s="20">
        <f>SUM(D417)</f>
        <v>0</v>
      </c>
      <c r="E416" s="15"/>
    </row>
    <row r="417" spans="1:5" ht="12.75">
      <c r="A417" s="21"/>
      <c r="B417" s="27">
        <v>4130</v>
      </c>
      <c r="C417" s="18" t="s">
        <v>118</v>
      </c>
      <c r="D417" s="22"/>
      <c r="E417" s="15"/>
    </row>
    <row r="418" spans="1:5" ht="25.5">
      <c r="A418" s="31">
        <v>85214</v>
      </c>
      <c r="B418" s="26"/>
      <c r="C418" s="19" t="s">
        <v>119</v>
      </c>
      <c r="D418" s="20">
        <f>SUM(D419:D419)</f>
        <v>0</v>
      </c>
      <c r="E418" s="15"/>
    </row>
    <row r="419" spans="1:5" ht="13.5" thickBot="1">
      <c r="A419" s="53"/>
      <c r="B419" s="54">
        <v>3110</v>
      </c>
      <c r="C419" s="23" t="s">
        <v>91</v>
      </c>
      <c r="D419" s="24"/>
      <c r="E419" s="15"/>
    </row>
    <row r="420" spans="1:5" ht="13.5" thickBot="1">
      <c r="A420" s="291" t="s">
        <v>120</v>
      </c>
      <c r="B420" s="292"/>
      <c r="C420" s="293"/>
      <c r="D420" s="73">
        <f>SUM(D392,D8)</f>
        <v>11068000</v>
      </c>
      <c r="E420" s="15"/>
    </row>
    <row r="421" spans="1:4" ht="12.75">
      <c r="A421" s="1"/>
      <c r="B421" s="2"/>
      <c r="C421" s="3"/>
      <c r="D421" s="3"/>
    </row>
    <row r="422" spans="1:4" ht="12.75">
      <c r="A422" s="1"/>
      <c r="B422" s="2"/>
      <c r="C422" s="3"/>
      <c r="D422" s="3"/>
    </row>
    <row r="423" spans="1:4" ht="12.75">
      <c r="A423" s="1"/>
      <c r="B423" s="2"/>
      <c r="C423" s="14" t="s">
        <v>128</v>
      </c>
      <c r="D423" s="29"/>
    </row>
    <row r="424" spans="1:4" ht="12.75">
      <c r="A424" s="1"/>
      <c r="B424" s="2"/>
      <c r="C424" s="14" t="s">
        <v>129</v>
      </c>
      <c r="D424" s="4"/>
    </row>
    <row r="425" spans="1:4" ht="12.75">
      <c r="A425" s="1"/>
      <c r="B425" s="2"/>
      <c r="C425" s="14"/>
      <c r="D425" s="4"/>
    </row>
    <row r="426" spans="1:4" ht="12.75">
      <c r="A426" s="1"/>
      <c r="B426" s="2"/>
      <c r="C426" s="14" t="s">
        <v>130</v>
      </c>
      <c r="D426" s="4"/>
    </row>
    <row r="427" spans="1:3" ht="12.75">
      <c r="A427" s="1"/>
      <c r="B427" s="2"/>
      <c r="C427" s="14" t="s">
        <v>131</v>
      </c>
    </row>
    <row r="428" spans="1:3" ht="12.75">
      <c r="A428" s="1"/>
      <c r="B428" s="74"/>
      <c r="C428" s="15"/>
    </row>
    <row r="429" spans="1:3" ht="12.75">
      <c r="A429" s="1"/>
      <c r="B429" s="74"/>
      <c r="C429" s="15"/>
    </row>
    <row r="430" spans="1:3" ht="12.75">
      <c r="A430" s="1"/>
      <c r="B430" s="74"/>
      <c r="C430" s="15"/>
    </row>
    <row r="431" spans="1:3" ht="12.75">
      <c r="A431" s="1"/>
      <c r="B431" s="74"/>
      <c r="C431" s="15"/>
    </row>
    <row r="432" spans="1:3" ht="12.75">
      <c r="A432" s="1"/>
      <c r="B432" s="74"/>
      <c r="C432" s="15"/>
    </row>
    <row r="433" spans="1:3" ht="12.75">
      <c r="A433" s="1"/>
      <c r="B433" s="74"/>
      <c r="C433" s="15"/>
    </row>
    <row r="434" spans="1:3" ht="12.75">
      <c r="A434" s="1"/>
      <c r="B434" s="74"/>
      <c r="C434" s="15"/>
    </row>
    <row r="435" spans="1:3" ht="12.75">
      <c r="A435" s="1"/>
      <c r="B435" s="74"/>
      <c r="C435" s="15"/>
    </row>
    <row r="436" spans="1:3" ht="12.75">
      <c r="A436" s="1"/>
      <c r="B436" s="74"/>
      <c r="C436" s="15"/>
    </row>
    <row r="437" spans="1:3" ht="12.75">
      <c r="A437" s="1"/>
      <c r="B437" s="74"/>
      <c r="C437" s="15"/>
    </row>
    <row r="438" spans="1:3" ht="12.75">
      <c r="A438" s="1"/>
      <c r="B438" s="74"/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</sheetData>
  <sheetProtection/>
  <mergeCells count="2">
    <mergeCell ref="C1:D1"/>
    <mergeCell ref="A420:C4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1"/>
  <sheetViews>
    <sheetView zoomScalePageLayoutView="0" workbookViewId="0" topLeftCell="A404">
      <selection activeCell="G3" sqref="G3"/>
    </sheetView>
  </sheetViews>
  <sheetFormatPr defaultColWidth="9.00390625" defaultRowHeight="12.75"/>
  <cols>
    <col min="1" max="1" width="6.625" style="0" customWidth="1"/>
    <col min="2" max="2" width="6.375" style="0" customWidth="1"/>
    <col min="3" max="3" width="54.875" style="0" customWidth="1"/>
    <col min="4" max="4" width="13.125" style="0" customWidth="1"/>
    <col min="9" max="9" width="10.125" style="0" bestFit="1" customWidth="1"/>
  </cols>
  <sheetData>
    <row r="1" spans="1:4" ht="12.75">
      <c r="A1" s="6" t="s">
        <v>123</v>
      </c>
      <c r="B1" s="7"/>
      <c r="C1" s="8"/>
      <c r="D1" s="8"/>
    </row>
    <row r="2" spans="1:4" ht="13.5" thickBot="1">
      <c r="A2" s="6"/>
      <c r="B2" s="7"/>
      <c r="C2" s="8"/>
      <c r="D2" s="8"/>
    </row>
    <row r="3" spans="1:5" ht="26.25" thickBot="1">
      <c r="A3" s="32" t="s">
        <v>0</v>
      </c>
      <c r="B3" s="33" t="s">
        <v>1</v>
      </c>
      <c r="C3" s="34" t="s">
        <v>2</v>
      </c>
      <c r="D3" s="37" t="s">
        <v>121</v>
      </c>
      <c r="E3" s="15"/>
    </row>
    <row r="4" spans="1:5" ht="13.5" thickBot="1">
      <c r="A4" s="35">
        <v>1</v>
      </c>
      <c r="B4" s="9">
        <v>2</v>
      </c>
      <c r="C4" s="9">
        <v>3</v>
      </c>
      <c r="D4" s="38">
        <v>4</v>
      </c>
      <c r="E4" s="75"/>
    </row>
    <row r="5" spans="1:5" ht="13.5" thickBot="1">
      <c r="A5" s="36"/>
      <c r="B5" s="11"/>
      <c r="C5" s="12" t="s">
        <v>3</v>
      </c>
      <c r="D5" s="39">
        <f>SUM(D6,D18,D21,D36,D43,D50,D96,D116,D123,D128,D131,D272,D288,D317,D334,D357,D374)</f>
        <v>11064924.808</v>
      </c>
      <c r="E5" s="15"/>
    </row>
    <row r="6" spans="1:5" ht="13.5" customHeight="1" hidden="1" thickBot="1">
      <c r="A6" s="40" t="s">
        <v>4</v>
      </c>
      <c r="B6" s="41"/>
      <c r="C6" s="42" t="s">
        <v>5</v>
      </c>
      <c r="D6" s="43">
        <f>SUM(D7,D12,D14)</f>
        <v>0</v>
      </c>
      <c r="E6" s="15"/>
    </row>
    <row r="7" spans="1:5" ht="12.75" customHeight="1" hidden="1">
      <c r="A7" s="45" t="s">
        <v>6</v>
      </c>
      <c r="B7" s="46"/>
      <c r="C7" s="47" t="s">
        <v>7</v>
      </c>
      <c r="D7" s="48">
        <f>SUM(D8:D11)</f>
        <v>0</v>
      </c>
      <c r="E7" s="15"/>
    </row>
    <row r="8" spans="1:5" ht="12.75" customHeight="1" hidden="1">
      <c r="A8" s="49"/>
      <c r="B8" s="27">
        <v>4300</v>
      </c>
      <c r="C8" s="18" t="s">
        <v>15</v>
      </c>
      <c r="D8" s="22"/>
      <c r="E8" s="15"/>
    </row>
    <row r="9" spans="1:5" ht="12.75" customHeight="1" hidden="1">
      <c r="A9" s="49"/>
      <c r="B9" s="27">
        <v>6058</v>
      </c>
      <c r="C9" s="18" t="s">
        <v>26</v>
      </c>
      <c r="D9" s="22"/>
      <c r="E9" s="15"/>
    </row>
    <row r="10" spans="1:5" ht="12.75" customHeight="1" hidden="1">
      <c r="A10" s="49"/>
      <c r="B10" s="27">
        <v>6059</v>
      </c>
      <c r="C10" s="18" t="s">
        <v>26</v>
      </c>
      <c r="D10" s="22"/>
      <c r="E10" s="15"/>
    </row>
    <row r="11" spans="1:5" ht="33.75" customHeight="1" hidden="1">
      <c r="A11" s="50"/>
      <c r="B11" s="27">
        <v>6659</v>
      </c>
      <c r="C11" s="44" t="s">
        <v>8</v>
      </c>
      <c r="D11" s="22"/>
      <c r="E11" s="15"/>
    </row>
    <row r="12" spans="1:5" ht="12.75" customHeight="1" hidden="1">
      <c r="A12" s="49" t="s">
        <v>9</v>
      </c>
      <c r="B12" s="26"/>
      <c r="C12" s="19" t="s">
        <v>10</v>
      </c>
      <c r="D12" s="20">
        <f>SUM(D13)</f>
        <v>0</v>
      </c>
      <c r="E12" s="15"/>
    </row>
    <row r="13" spans="1:5" ht="25.5" customHeight="1" hidden="1">
      <c r="A13" s="50"/>
      <c r="B13" s="27">
        <v>2850</v>
      </c>
      <c r="C13" s="18" t="s">
        <v>11</v>
      </c>
      <c r="D13" s="22"/>
      <c r="E13" s="15"/>
    </row>
    <row r="14" spans="1:5" ht="12.75" customHeight="1" hidden="1">
      <c r="A14" s="49" t="s">
        <v>12</v>
      </c>
      <c r="B14" s="26"/>
      <c r="C14" s="19" t="s">
        <v>13</v>
      </c>
      <c r="D14" s="20">
        <f>SUM(D15:D17)</f>
        <v>0</v>
      </c>
      <c r="E14" s="15"/>
    </row>
    <row r="15" spans="1:5" ht="12.75" customHeight="1" hidden="1">
      <c r="A15" s="50"/>
      <c r="B15" s="27">
        <v>4210</v>
      </c>
      <c r="C15" s="18" t="s">
        <v>14</v>
      </c>
      <c r="D15" s="22"/>
      <c r="E15" s="15"/>
    </row>
    <row r="16" spans="1:5" ht="12.75" customHeight="1" hidden="1">
      <c r="A16" s="50"/>
      <c r="B16" s="27">
        <v>4300</v>
      </c>
      <c r="C16" s="18" t="s">
        <v>15</v>
      </c>
      <c r="D16" s="22"/>
      <c r="E16" s="15"/>
    </row>
    <row r="17" spans="1:5" ht="13.5" customHeight="1" hidden="1" thickBot="1">
      <c r="A17" s="55"/>
      <c r="B17" s="56">
        <v>4430</v>
      </c>
      <c r="C17" s="57" t="s">
        <v>16</v>
      </c>
      <c r="D17" s="58"/>
      <c r="E17" s="15"/>
    </row>
    <row r="18" spans="1:5" ht="13.5" customHeight="1" hidden="1" thickBot="1">
      <c r="A18" s="62">
        <v>500</v>
      </c>
      <c r="B18" s="63"/>
      <c r="C18" s="64" t="s">
        <v>17</v>
      </c>
      <c r="D18" s="65">
        <f>SUM(D19)</f>
        <v>0</v>
      </c>
      <c r="E18" s="15"/>
    </row>
    <row r="19" spans="1:5" ht="12.75" customHeight="1" hidden="1">
      <c r="A19" s="59">
        <v>50095</v>
      </c>
      <c r="B19" s="60"/>
      <c r="C19" s="61" t="s">
        <v>13</v>
      </c>
      <c r="D19" s="28">
        <f>SUM(D20:D20)</f>
        <v>0</v>
      </c>
      <c r="E19" s="15"/>
    </row>
    <row r="20" spans="1:5" ht="13.5" customHeight="1" hidden="1" thickBot="1">
      <c r="A20" s="66"/>
      <c r="B20" s="56">
        <v>4300</v>
      </c>
      <c r="C20" s="57" t="s">
        <v>15</v>
      </c>
      <c r="D20" s="58"/>
      <c r="E20" s="15"/>
    </row>
    <row r="21" spans="1:5" ht="13.5" customHeight="1" hidden="1" thickBot="1">
      <c r="A21" s="62">
        <v>600</v>
      </c>
      <c r="B21" s="63"/>
      <c r="C21" s="64" t="s">
        <v>18</v>
      </c>
      <c r="D21" s="65">
        <f>SUM(D22,D26,D24,D28)</f>
        <v>0</v>
      </c>
      <c r="E21" s="15"/>
    </row>
    <row r="22" spans="1:5" ht="12.75" customHeight="1" hidden="1">
      <c r="A22" s="59">
        <v>60004</v>
      </c>
      <c r="B22" s="60"/>
      <c r="C22" s="61" t="s">
        <v>19</v>
      </c>
      <c r="D22" s="28">
        <f>SUM(D23)</f>
        <v>0</v>
      </c>
      <c r="E22" s="15"/>
    </row>
    <row r="23" spans="1:5" ht="33.75" customHeight="1" hidden="1">
      <c r="A23" s="21"/>
      <c r="B23" s="27">
        <v>2310</v>
      </c>
      <c r="C23" s="44" t="s">
        <v>20</v>
      </c>
      <c r="D23" s="22"/>
      <c r="E23" s="15">
        <v>781</v>
      </c>
    </row>
    <row r="24" spans="1:5" ht="12.75" customHeight="1" hidden="1">
      <c r="A24" s="31">
        <v>60013</v>
      </c>
      <c r="B24" s="26"/>
      <c r="C24" s="19" t="s">
        <v>134</v>
      </c>
      <c r="D24" s="20">
        <f>SUM(D25:D25)</f>
        <v>0</v>
      </c>
      <c r="E24" s="15"/>
    </row>
    <row r="25" spans="1:5" ht="22.5" customHeight="1" hidden="1">
      <c r="A25" s="51"/>
      <c r="B25" s="27">
        <v>2710</v>
      </c>
      <c r="C25" s="44" t="s">
        <v>22</v>
      </c>
      <c r="D25" s="22"/>
      <c r="E25" s="15">
        <v>50000</v>
      </c>
    </row>
    <row r="26" spans="1:5" ht="12.75" customHeight="1" hidden="1">
      <c r="A26" s="31">
        <v>60014</v>
      </c>
      <c r="B26" s="26"/>
      <c r="C26" s="19" t="s">
        <v>21</v>
      </c>
      <c r="D26" s="20">
        <f>SUM(D27:D27)</f>
        <v>0</v>
      </c>
      <c r="E26" s="15"/>
    </row>
    <row r="27" spans="1:5" ht="12.75" customHeight="1" hidden="1">
      <c r="A27" s="51"/>
      <c r="B27" s="27">
        <v>2710</v>
      </c>
      <c r="C27" s="44" t="s">
        <v>22</v>
      </c>
      <c r="D27" s="22"/>
      <c r="E27" s="76"/>
    </row>
    <row r="28" spans="1:5" ht="12.75" customHeight="1" hidden="1">
      <c r="A28" s="31">
        <v>60016</v>
      </c>
      <c r="B28" s="26"/>
      <c r="C28" s="19" t="s">
        <v>23</v>
      </c>
      <c r="D28" s="20">
        <f>SUM(D29:D35)</f>
        <v>0</v>
      </c>
      <c r="E28" s="15"/>
    </row>
    <row r="29" spans="1:5" ht="12.75" customHeight="1" hidden="1">
      <c r="A29" s="21"/>
      <c r="B29" s="27">
        <v>4270</v>
      </c>
      <c r="C29" s="18" t="s">
        <v>24</v>
      </c>
      <c r="D29" s="22"/>
      <c r="E29" s="15"/>
    </row>
    <row r="30" spans="1:5" ht="12.75" customHeight="1" hidden="1">
      <c r="A30" s="21"/>
      <c r="B30" s="27">
        <v>4300</v>
      </c>
      <c r="C30" s="18" t="s">
        <v>15</v>
      </c>
      <c r="D30" s="22"/>
      <c r="E30" s="15">
        <v>-781</v>
      </c>
    </row>
    <row r="31" spans="1:5" ht="12.75" customHeight="1" hidden="1">
      <c r="A31" s="21"/>
      <c r="B31" s="27">
        <v>4430</v>
      </c>
      <c r="C31" s="18" t="s">
        <v>16</v>
      </c>
      <c r="D31" s="22"/>
      <c r="E31" s="15"/>
    </row>
    <row r="32" spans="1:5" ht="12.75" customHeight="1" hidden="1">
      <c r="A32" s="21"/>
      <c r="B32" s="27">
        <v>4590</v>
      </c>
      <c r="C32" s="18" t="s">
        <v>25</v>
      </c>
      <c r="D32" s="22"/>
      <c r="E32" s="15"/>
    </row>
    <row r="33" spans="1:5" ht="13.5" customHeight="1" hidden="1">
      <c r="A33" s="21"/>
      <c r="B33" s="27">
        <v>6050</v>
      </c>
      <c r="C33" s="18" t="s">
        <v>26</v>
      </c>
      <c r="D33" s="22"/>
      <c r="E33" s="15">
        <v>50000</v>
      </c>
    </row>
    <row r="34" spans="1:5" ht="13.5" customHeight="1" hidden="1">
      <c r="A34" s="21"/>
      <c r="B34" s="27">
        <v>6058</v>
      </c>
      <c r="C34" s="18" t="s">
        <v>26</v>
      </c>
      <c r="D34" s="22"/>
      <c r="E34" s="15"/>
    </row>
    <row r="35" spans="1:5" ht="52.5" customHeight="1" hidden="1" thickBot="1">
      <c r="A35" s="66"/>
      <c r="B35" s="56">
        <v>6059</v>
      </c>
      <c r="C35" s="57" t="s">
        <v>26</v>
      </c>
      <c r="D35" s="58"/>
      <c r="E35" s="15"/>
    </row>
    <row r="36" spans="1:5" ht="12.75" customHeight="1" thickBot="1">
      <c r="A36" s="62">
        <v>700</v>
      </c>
      <c r="B36" s="63"/>
      <c r="C36" s="64" t="s">
        <v>27</v>
      </c>
      <c r="D36" s="65">
        <f>SUM(D37,D41)</f>
        <v>0</v>
      </c>
      <c r="E36" s="15"/>
    </row>
    <row r="37" spans="1:5" ht="12.75" customHeight="1" hidden="1">
      <c r="A37" s="59">
        <v>70005</v>
      </c>
      <c r="B37" s="60"/>
      <c r="C37" s="61" t="s">
        <v>28</v>
      </c>
      <c r="D37" s="28">
        <f>SUM(D38:D40)</f>
        <v>0</v>
      </c>
      <c r="E37" s="15"/>
    </row>
    <row r="38" spans="1:5" ht="12.75" customHeight="1" hidden="1">
      <c r="A38" s="31"/>
      <c r="B38" s="27">
        <v>4260</v>
      </c>
      <c r="C38" s="18" t="s">
        <v>43</v>
      </c>
      <c r="D38" s="22"/>
      <c r="E38" s="15"/>
    </row>
    <row r="39" spans="1:5" ht="12.75" customHeight="1" hidden="1">
      <c r="A39" s="21"/>
      <c r="B39" s="27">
        <v>4300</v>
      </c>
      <c r="C39" s="18" t="s">
        <v>15</v>
      </c>
      <c r="D39" s="22"/>
      <c r="E39" s="15"/>
    </row>
    <row r="40" spans="1:5" ht="13.5" customHeight="1" hidden="1">
      <c r="A40" s="21"/>
      <c r="B40" s="27">
        <v>4590</v>
      </c>
      <c r="C40" s="18" t="s">
        <v>25</v>
      </c>
      <c r="D40" s="22"/>
      <c r="E40" s="15"/>
    </row>
    <row r="41" spans="1:5" ht="13.5" customHeight="1" hidden="1">
      <c r="A41" s="31">
        <v>70095</v>
      </c>
      <c r="B41" s="26"/>
      <c r="C41" s="19" t="s">
        <v>13</v>
      </c>
      <c r="D41" s="20">
        <f>SUM(D42:D42)</f>
        <v>0</v>
      </c>
      <c r="E41" s="15"/>
    </row>
    <row r="42" spans="1:5" ht="12.75" customHeight="1" hidden="1" thickBot="1">
      <c r="A42" s="66"/>
      <c r="B42" s="56">
        <v>4300</v>
      </c>
      <c r="C42" s="57" t="s">
        <v>15</v>
      </c>
      <c r="D42" s="58"/>
      <c r="E42" s="15"/>
    </row>
    <row r="43" spans="1:5" ht="12.75" customHeight="1" hidden="1" thickBot="1">
      <c r="A43" s="62">
        <v>710</v>
      </c>
      <c r="B43" s="63"/>
      <c r="C43" s="64" t="s">
        <v>29</v>
      </c>
      <c r="D43" s="65">
        <f>SUM(D44,D46,D48)</f>
        <v>0</v>
      </c>
      <c r="E43" s="15"/>
    </row>
    <row r="44" spans="1:5" ht="25.5" customHeight="1" hidden="1">
      <c r="A44" s="59">
        <v>71004</v>
      </c>
      <c r="B44" s="60"/>
      <c r="C44" s="61" t="s">
        <v>30</v>
      </c>
      <c r="D44" s="28">
        <f>SUM(D45:D45)</f>
        <v>0</v>
      </c>
      <c r="E44" s="15"/>
    </row>
    <row r="45" spans="1:5" ht="12.75" customHeight="1" hidden="1">
      <c r="A45" s="21"/>
      <c r="B45" s="27">
        <v>4300</v>
      </c>
      <c r="C45" s="18" t="s">
        <v>15</v>
      </c>
      <c r="D45" s="22"/>
      <c r="E45" s="15"/>
    </row>
    <row r="46" spans="1:5" ht="12.75" customHeight="1" hidden="1">
      <c r="A46" s="31">
        <v>71013</v>
      </c>
      <c r="B46" s="26"/>
      <c r="C46" s="19" t="s">
        <v>31</v>
      </c>
      <c r="D46" s="20">
        <f>SUM(D47)</f>
        <v>0</v>
      </c>
      <c r="E46" s="15"/>
    </row>
    <row r="47" spans="1:5" ht="13.5" customHeight="1" hidden="1">
      <c r="A47" s="21"/>
      <c r="B47" s="27">
        <v>4300</v>
      </c>
      <c r="C47" s="18" t="s">
        <v>15</v>
      </c>
      <c r="D47" s="22"/>
      <c r="E47" s="15"/>
    </row>
    <row r="48" spans="1:5" ht="12.75" hidden="1">
      <c r="A48" s="31">
        <v>71095</v>
      </c>
      <c r="B48" s="26"/>
      <c r="C48" s="19" t="s">
        <v>13</v>
      </c>
      <c r="D48" s="20">
        <f>SUM(D49)</f>
        <v>0</v>
      </c>
      <c r="E48" s="15"/>
    </row>
    <row r="49" spans="1:5" ht="13.5" hidden="1" thickBot="1">
      <c r="A49" s="66"/>
      <c r="B49" s="56">
        <v>4300</v>
      </c>
      <c r="C49" s="57" t="s">
        <v>15</v>
      </c>
      <c r="D49" s="58"/>
      <c r="E49" s="15"/>
    </row>
    <row r="50" spans="1:5" ht="13.5" thickBot="1">
      <c r="A50" s="62">
        <v>750</v>
      </c>
      <c r="B50" s="63"/>
      <c r="C50" s="64" t="s">
        <v>32</v>
      </c>
      <c r="D50" s="65">
        <f>SUM(D51,D57,D83,D86)</f>
        <v>2004246.308</v>
      </c>
      <c r="E50" s="15"/>
    </row>
    <row r="51" spans="1:5" ht="12.75">
      <c r="A51" s="59">
        <v>75022</v>
      </c>
      <c r="B51" s="60"/>
      <c r="C51" s="61" t="s">
        <v>33</v>
      </c>
      <c r="D51" s="28">
        <f>SUM(D52:D56)</f>
        <v>0</v>
      </c>
      <c r="E51" s="15"/>
    </row>
    <row r="52" spans="1:5" ht="12.75">
      <c r="A52" s="21"/>
      <c r="B52" s="27">
        <v>3030</v>
      </c>
      <c r="C52" s="18" t="s">
        <v>34</v>
      </c>
      <c r="D52" s="22"/>
      <c r="E52" s="15"/>
    </row>
    <row r="53" spans="1:5" ht="12.75">
      <c r="A53" s="21"/>
      <c r="B53" s="27">
        <v>4210</v>
      </c>
      <c r="C53" s="18" t="s">
        <v>14</v>
      </c>
      <c r="D53" s="22"/>
      <c r="E53" s="15"/>
    </row>
    <row r="54" spans="1:5" ht="12.75">
      <c r="A54" s="21"/>
      <c r="B54" s="27">
        <v>4300</v>
      </c>
      <c r="C54" s="18" t="s">
        <v>15</v>
      </c>
      <c r="D54" s="22"/>
      <c r="E54" s="15"/>
    </row>
    <row r="55" spans="1:5" ht="12.75">
      <c r="A55" s="21"/>
      <c r="B55" s="27">
        <v>4410</v>
      </c>
      <c r="C55" s="18" t="s">
        <v>48</v>
      </c>
      <c r="D55" s="22"/>
      <c r="E55" s="15"/>
    </row>
    <row r="56" spans="1:5" ht="12.75">
      <c r="A56" s="21"/>
      <c r="B56" s="27">
        <v>4430</v>
      </c>
      <c r="C56" s="18" t="s">
        <v>16</v>
      </c>
      <c r="D56" s="22"/>
      <c r="E56" s="15"/>
    </row>
    <row r="57" spans="1:9" ht="12.75">
      <c r="A57" s="31">
        <v>75023</v>
      </c>
      <c r="B57" s="26"/>
      <c r="C57" s="19" t="s">
        <v>35</v>
      </c>
      <c r="D57" s="20">
        <f>SUM(D58:D82)</f>
        <v>2004246.308</v>
      </c>
      <c r="E57" s="15"/>
      <c r="I57" s="294"/>
    </row>
    <row r="58" spans="1:5" ht="12.75">
      <c r="A58" s="21"/>
      <c r="B58" s="27">
        <v>3020</v>
      </c>
      <c r="C58" s="18" t="s">
        <v>36</v>
      </c>
      <c r="D58" s="22"/>
      <c r="E58" s="15"/>
    </row>
    <row r="59" spans="1:5" ht="12.75">
      <c r="A59" s="21"/>
      <c r="B59" s="27">
        <v>4010</v>
      </c>
      <c r="C59" s="18" t="s">
        <v>37</v>
      </c>
      <c r="D59" s="22">
        <v>1573000</v>
      </c>
      <c r="E59" s="15"/>
    </row>
    <row r="60" spans="1:5" ht="12.75">
      <c r="A60" s="21"/>
      <c r="B60" s="27">
        <v>4040</v>
      </c>
      <c r="C60" s="18" t="s">
        <v>38</v>
      </c>
      <c r="D60" s="22">
        <f>113600+(D64*15.1%)</f>
        <v>116016</v>
      </c>
      <c r="E60" s="15"/>
    </row>
    <row r="61" spans="1:5" ht="12.75">
      <c r="A61" s="21"/>
      <c r="B61" s="27">
        <v>4110</v>
      </c>
      <c r="C61" s="18" t="s">
        <v>39</v>
      </c>
      <c r="D61" s="22">
        <f>(D59+D60+D64)*15.1%</f>
        <v>257457.416</v>
      </c>
      <c r="E61" s="15"/>
    </row>
    <row r="62" spans="1:5" ht="12.75">
      <c r="A62" s="21"/>
      <c r="B62" s="27">
        <v>4120</v>
      </c>
      <c r="C62" s="18" t="s">
        <v>40</v>
      </c>
      <c r="D62" s="22">
        <f>(D59+D60+D64)*2.45%</f>
        <v>41772.892</v>
      </c>
      <c r="E62" s="15"/>
    </row>
    <row r="63" spans="1:5" ht="25.5">
      <c r="A63" s="21"/>
      <c r="B63" s="27">
        <v>4140</v>
      </c>
      <c r="C63" s="18" t="s">
        <v>41</v>
      </c>
      <c r="D63" s="22">
        <v>0</v>
      </c>
      <c r="E63" s="15"/>
    </row>
    <row r="64" spans="1:5" ht="12.75">
      <c r="A64" s="21"/>
      <c r="B64" s="27">
        <v>4170</v>
      </c>
      <c r="C64" s="18" t="s">
        <v>42</v>
      </c>
      <c r="D64" s="22">
        <v>16000</v>
      </c>
      <c r="E64" s="15"/>
    </row>
    <row r="65" spans="1:5" ht="12.75">
      <c r="A65" s="21"/>
      <c r="B65" s="27">
        <v>4210</v>
      </c>
      <c r="C65" s="18" t="s">
        <v>14</v>
      </c>
      <c r="D65" s="22"/>
      <c r="E65" s="15"/>
    </row>
    <row r="66" spans="1:5" ht="12.75">
      <c r="A66" s="21"/>
      <c r="B66" s="27">
        <v>4240</v>
      </c>
      <c r="C66" s="18" t="s">
        <v>74</v>
      </c>
      <c r="D66" s="22"/>
      <c r="E66" s="15"/>
    </row>
    <row r="67" spans="1:5" ht="12.75">
      <c r="A67" s="21"/>
      <c r="B67" s="27">
        <v>4260</v>
      </c>
      <c r="C67" s="18" t="s">
        <v>43</v>
      </c>
      <c r="D67" s="22"/>
      <c r="E67" s="15"/>
    </row>
    <row r="68" spans="1:5" ht="12.75">
      <c r="A68" s="21"/>
      <c r="B68" s="27">
        <v>4270</v>
      </c>
      <c r="C68" s="18" t="s">
        <v>24</v>
      </c>
      <c r="D68" s="22"/>
      <c r="E68" s="15"/>
    </row>
    <row r="69" spans="1:5" ht="12.75">
      <c r="A69" s="21"/>
      <c r="B69" s="27">
        <v>4280</v>
      </c>
      <c r="C69" s="18" t="s">
        <v>44</v>
      </c>
      <c r="D69" s="22"/>
      <c r="E69" s="15"/>
    </row>
    <row r="70" spans="1:5" ht="12.75">
      <c r="A70" s="21"/>
      <c r="B70" s="27">
        <v>4300</v>
      </c>
      <c r="C70" s="18" t="s">
        <v>15</v>
      </c>
      <c r="D70" s="22"/>
      <c r="E70" s="15"/>
    </row>
    <row r="71" spans="1:5" ht="12.75">
      <c r="A71" s="21"/>
      <c r="B71" s="27">
        <v>4350</v>
      </c>
      <c r="C71" s="18" t="s">
        <v>45</v>
      </c>
      <c r="D71" s="22"/>
      <c r="E71" s="15"/>
    </row>
    <row r="72" spans="1:5" ht="25.5">
      <c r="A72" s="21"/>
      <c r="B72" s="27">
        <v>4360</v>
      </c>
      <c r="C72" s="18" t="s">
        <v>46</v>
      </c>
      <c r="D72" s="22"/>
      <c r="E72" s="15"/>
    </row>
    <row r="73" spans="1:5" ht="25.5">
      <c r="A73" s="21"/>
      <c r="B73" s="27">
        <v>4370</v>
      </c>
      <c r="C73" s="18" t="s">
        <v>47</v>
      </c>
      <c r="D73" s="22"/>
      <c r="E73" s="15"/>
    </row>
    <row r="74" spans="1:5" ht="12.75">
      <c r="A74" s="21"/>
      <c r="B74" s="27">
        <v>4410</v>
      </c>
      <c r="C74" s="18" t="s">
        <v>48</v>
      </c>
      <c r="D74" s="22"/>
      <c r="E74" s="15"/>
    </row>
    <row r="75" spans="1:5" ht="12.75">
      <c r="A75" s="21"/>
      <c r="B75" s="27">
        <v>4420</v>
      </c>
      <c r="C75" s="18" t="s">
        <v>49</v>
      </c>
      <c r="D75" s="22"/>
      <c r="E75" s="15"/>
    </row>
    <row r="76" spans="1:5" ht="12.75">
      <c r="A76" s="21"/>
      <c r="B76" s="27">
        <v>4430</v>
      </c>
      <c r="C76" s="18" t="s">
        <v>16</v>
      </c>
      <c r="D76" s="22"/>
      <c r="E76" s="15"/>
    </row>
    <row r="77" spans="1:5" ht="12.75">
      <c r="A77" s="21"/>
      <c r="B77" s="27">
        <v>4440</v>
      </c>
      <c r="C77" s="18" t="s">
        <v>50</v>
      </c>
      <c r="D77" s="22"/>
      <c r="E77" s="15"/>
    </row>
    <row r="78" spans="1:5" ht="12.75">
      <c r="A78" s="21"/>
      <c r="B78" s="27">
        <v>4580</v>
      </c>
      <c r="C78" s="18" t="s">
        <v>136</v>
      </c>
      <c r="D78" s="22"/>
      <c r="E78" s="15"/>
    </row>
    <row r="79" spans="1:5" ht="12.75">
      <c r="A79" s="21"/>
      <c r="B79" s="27">
        <v>4610</v>
      </c>
      <c r="C79" s="18" t="s">
        <v>135</v>
      </c>
      <c r="D79" s="22"/>
      <c r="E79" s="15"/>
    </row>
    <row r="80" spans="1:5" ht="25.5">
      <c r="A80" s="21"/>
      <c r="B80" s="27">
        <v>4700</v>
      </c>
      <c r="C80" s="18" t="s">
        <v>51</v>
      </c>
      <c r="D80" s="22"/>
      <c r="E80" s="15"/>
    </row>
    <row r="81" spans="1:5" ht="25.5">
      <c r="A81" s="21"/>
      <c r="B81" s="27">
        <v>4740</v>
      </c>
      <c r="C81" s="18" t="s">
        <v>52</v>
      </c>
      <c r="D81" s="22"/>
      <c r="E81" s="15"/>
    </row>
    <row r="82" spans="1:5" ht="12.75">
      <c r="A82" s="21"/>
      <c r="B82" s="27">
        <v>4750</v>
      </c>
      <c r="C82" s="18" t="s">
        <v>53</v>
      </c>
      <c r="D82" s="22"/>
      <c r="E82" s="15"/>
    </row>
    <row r="83" spans="1:5" ht="12.75">
      <c r="A83" s="31">
        <v>75075</v>
      </c>
      <c r="B83" s="26"/>
      <c r="C83" s="19" t="s">
        <v>54</v>
      </c>
      <c r="D83" s="20">
        <f>SUM(D84:D85)</f>
        <v>0</v>
      </c>
      <c r="E83" s="15"/>
    </row>
    <row r="84" spans="1:5" ht="12.75">
      <c r="A84" s="31"/>
      <c r="B84" s="27">
        <v>4210</v>
      </c>
      <c r="C84" s="27" t="s">
        <v>14</v>
      </c>
      <c r="D84" s="22"/>
      <c r="E84" s="15"/>
    </row>
    <row r="85" spans="1:5" ht="12.75">
      <c r="A85" s="21"/>
      <c r="B85" s="27">
        <v>4300</v>
      </c>
      <c r="C85" s="18" t="s">
        <v>15</v>
      </c>
      <c r="D85" s="22"/>
      <c r="E85" s="15"/>
    </row>
    <row r="86" spans="1:5" ht="12.75">
      <c r="A86" s="31">
        <v>75095</v>
      </c>
      <c r="B86" s="26"/>
      <c r="C86" s="19" t="s">
        <v>13</v>
      </c>
      <c r="D86" s="20">
        <f>SUM(D87:D95)</f>
        <v>0</v>
      </c>
      <c r="E86" s="15"/>
    </row>
    <row r="87" spans="1:5" ht="12.75">
      <c r="A87" s="21"/>
      <c r="B87" s="27">
        <v>4210</v>
      </c>
      <c r="C87" s="18" t="s">
        <v>14</v>
      </c>
      <c r="D87" s="22"/>
      <c r="E87" s="15"/>
    </row>
    <row r="88" spans="1:5" ht="12.75">
      <c r="A88" s="21"/>
      <c r="B88" s="27">
        <v>4260</v>
      </c>
      <c r="C88" s="18" t="s">
        <v>43</v>
      </c>
      <c r="D88" s="22"/>
      <c r="E88" s="15"/>
    </row>
    <row r="89" spans="1:5" ht="12.75">
      <c r="A89" s="21"/>
      <c r="B89" s="27">
        <v>4270</v>
      </c>
      <c r="C89" s="18" t="s">
        <v>24</v>
      </c>
      <c r="D89" s="22"/>
      <c r="E89" s="15"/>
    </row>
    <row r="90" spans="1:5" ht="12.75">
      <c r="A90" s="21"/>
      <c r="B90" s="27">
        <v>4300</v>
      </c>
      <c r="C90" s="18" t="s">
        <v>15</v>
      </c>
      <c r="D90" s="22"/>
      <c r="E90" s="15"/>
    </row>
    <row r="91" spans="1:5" ht="12.75">
      <c r="A91" s="21"/>
      <c r="B91" s="27">
        <v>4350</v>
      </c>
      <c r="C91" s="18" t="s">
        <v>55</v>
      </c>
      <c r="D91" s="22"/>
      <c r="E91" s="15"/>
    </row>
    <row r="92" spans="1:5" ht="25.5">
      <c r="A92" s="21"/>
      <c r="B92" s="27">
        <v>4370</v>
      </c>
      <c r="C92" s="18" t="s">
        <v>47</v>
      </c>
      <c r="D92" s="22"/>
      <c r="E92" s="15"/>
    </row>
    <row r="93" spans="1:5" ht="25.5">
      <c r="A93" s="21"/>
      <c r="B93" s="27">
        <v>4400</v>
      </c>
      <c r="C93" s="18" t="s">
        <v>56</v>
      </c>
      <c r="D93" s="22"/>
      <c r="E93" s="15"/>
    </row>
    <row r="94" spans="1:5" ht="12.75">
      <c r="A94" s="21"/>
      <c r="B94" s="27">
        <v>4430</v>
      </c>
      <c r="C94" s="18" t="s">
        <v>16</v>
      </c>
      <c r="D94" s="22"/>
      <c r="E94" s="15"/>
    </row>
    <row r="95" spans="1:5" ht="13.5" thickBot="1">
      <c r="A95" s="66"/>
      <c r="B95" s="56">
        <v>4750</v>
      </c>
      <c r="C95" s="57" t="s">
        <v>53</v>
      </c>
      <c r="D95" s="58"/>
      <c r="E95" s="15"/>
    </row>
    <row r="96" spans="1:5" ht="13.5" thickBot="1">
      <c r="A96" s="62">
        <v>754</v>
      </c>
      <c r="B96" s="63"/>
      <c r="C96" s="64" t="s">
        <v>57</v>
      </c>
      <c r="D96" s="65">
        <f>D97+D99+D112+D114</f>
        <v>51700</v>
      </c>
      <c r="E96" s="15"/>
    </row>
    <row r="97" spans="1:5" ht="12.75">
      <c r="A97" s="59">
        <v>75404</v>
      </c>
      <c r="B97" s="60"/>
      <c r="C97" s="61" t="s">
        <v>126</v>
      </c>
      <c r="D97" s="28">
        <f>D98</f>
        <v>0</v>
      </c>
      <c r="E97" s="15"/>
    </row>
    <row r="98" spans="1:5" ht="22.5">
      <c r="A98" s="52"/>
      <c r="B98" s="27">
        <v>6170</v>
      </c>
      <c r="C98" s="44" t="s">
        <v>127</v>
      </c>
      <c r="D98" s="22"/>
      <c r="E98" s="15"/>
    </row>
    <row r="99" spans="1:5" ht="12.75">
      <c r="A99" s="31">
        <v>75412</v>
      </c>
      <c r="B99" s="26"/>
      <c r="C99" s="19" t="s">
        <v>58</v>
      </c>
      <c r="D99" s="20">
        <f>SUM(D100:D111)</f>
        <v>51700</v>
      </c>
      <c r="E99" s="15"/>
    </row>
    <row r="100" spans="1:5" ht="22.5">
      <c r="A100" s="52"/>
      <c r="B100" s="27">
        <v>2820</v>
      </c>
      <c r="C100" s="44" t="s">
        <v>59</v>
      </c>
      <c r="D100" s="22"/>
      <c r="E100" s="76"/>
    </row>
    <row r="101" spans="1:5" ht="12.75">
      <c r="A101" s="21"/>
      <c r="B101" s="27">
        <v>3030</v>
      </c>
      <c r="C101" s="18" t="s">
        <v>34</v>
      </c>
      <c r="D101" s="22"/>
      <c r="E101" s="15"/>
    </row>
    <row r="102" spans="1:5" ht="12.75">
      <c r="A102" s="21"/>
      <c r="B102" s="27">
        <v>4110</v>
      </c>
      <c r="C102" s="18" t="s">
        <v>39</v>
      </c>
      <c r="D102" s="22">
        <v>6600</v>
      </c>
      <c r="E102" s="15"/>
    </row>
    <row r="103" spans="1:5" ht="12.75">
      <c r="A103" s="21"/>
      <c r="B103" s="27">
        <v>4120</v>
      </c>
      <c r="C103" s="18" t="s">
        <v>40</v>
      </c>
      <c r="D103" s="22">
        <v>1100</v>
      </c>
      <c r="E103" s="15"/>
    </row>
    <row r="104" spans="1:5" ht="12.75">
      <c r="A104" s="21"/>
      <c r="B104" s="27">
        <v>4170</v>
      </c>
      <c r="C104" s="18" t="s">
        <v>42</v>
      </c>
      <c r="D104" s="22">
        <v>44000</v>
      </c>
      <c r="E104" s="15"/>
    </row>
    <row r="105" spans="1:5" ht="12.75">
      <c r="A105" s="21"/>
      <c r="B105" s="27">
        <v>4210</v>
      </c>
      <c r="C105" s="18" t="s">
        <v>14</v>
      </c>
      <c r="D105" s="22"/>
      <c r="E105" s="15"/>
    </row>
    <row r="106" spans="1:5" ht="12.75">
      <c r="A106" s="21"/>
      <c r="B106" s="27">
        <v>4250</v>
      </c>
      <c r="C106" s="18" t="s">
        <v>60</v>
      </c>
      <c r="D106" s="22"/>
      <c r="E106" s="15"/>
    </row>
    <row r="107" spans="1:5" ht="12.75">
      <c r="A107" s="21"/>
      <c r="B107" s="27">
        <v>4260</v>
      </c>
      <c r="C107" s="18" t="s">
        <v>43</v>
      </c>
      <c r="D107" s="22"/>
      <c r="E107" s="15"/>
    </row>
    <row r="108" spans="1:5" ht="12.75">
      <c r="A108" s="21"/>
      <c r="B108" s="27">
        <v>4270</v>
      </c>
      <c r="C108" s="18" t="s">
        <v>24</v>
      </c>
      <c r="D108" s="22"/>
      <c r="E108" s="15"/>
    </row>
    <row r="109" spans="1:5" ht="12.75">
      <c r="A109" s="21"/>
      <c r="B109" s="27">
        <v>4280</v>
      </c>
      <c r="C109" s="18" t="s">
        <v>44</v>
      </c>
      <c r="D109" s="22"/>
      <c r="E109" s="15"/>
    </row>
    <row r="110" spans="1:5" ht="12.75">
      <c r="A110" s="21"/>
      <c r="B110" s="27">
        <v>4300</v>
      </c>
      <c r="C110" s="18" t="s">
        <v>15</v>
      </c>
      <c r="D110" s="22"/>
      <c r="E110" s="15"/>
    </row>
    <row r="111" spans="1:5" ht="12.75">
      <c r="A111" s="21"/>
      <c r="B111" s="27">
        <v>4430</v>
      </c>
      <c r="C111" s="18" t="s">
        <v>16</v>
      </c>
      <c r="D111" s="22"/>
      <c r="E111" s="15"/>
    </row>
    <row r="112" spans="1:5" ht="12.75">
      <c r="A112" s="31">
        <v>75421</v>
      </c>
      <c r="B112" s="26"/>
      <c r="C112" s="19" t="s">
        <v>62</v>
      </c>
      <c r="D112" s="20">
        <f>SUM(D113)</f>
        <v>0</v>
      </c>
      <c r="E112" s="15"/>
    </row>
    <row r="113" spans="1:5" ht="12.75">
      <c r="A113" s="66"/>
      <c r="B113" s="56">
        <v>4810</v>
      </c>
      <c r="C113" s="57" t="s">
        <v>133</v>
      </c>
      <c r="D113" s="58"/>
      <c r="E113" s="15"/>
    </row>
    <row r="114" spans="1:5" ht="12.75">
      <c r="A114" s="31">
        <v>75495</v>
      </c>
      <c r="B114" s="26"/>
      <c r="C114" s="19" t="s">
        <v>13</v>
      </c>
      <c r="D114" s="20">
        <f>SUM(D115)</f>
        <v>0</v>
      </c>
      <c r="E114" s="15"/>
    </row>
    <row r="115" spans="1:5" ht="13.5" thickBot="1">
      <c r="A115" s="66"/>
      <c r="B115" s="56">
        <v>6050</v>
      </c>
      <c r="C115" s="57" t="s">
        <v>26</v>
      </c>
      <c r="D115" s="58"/>
      <c r="E115" s="15"/>
    </row>
    <row r="116" spans="1:5" ht="39" thickBot="1">
      <c r="A116" s="62">
        <v>756</v>
      </c>
      <c r="B116" s="63"/>
      <c r="C116" s="64" t="s">
        <v>64</v>
      </c>
      <c r="D116" s="65">
        <f>SUM(D117)</f>
        <v>76200</v>
      </c>
      <c r="E116" s="15"/>
    </row>
    <row r="117" spans="1:5" ht="25.5">
      <c r="A117" s="59">
        <v>75647</v>
      </c>
      <c r="B117" s="60"/>
      <c r="C117" s="61" t="s">
        <v>65</v>
      </c>
      <c r="D117" s="28">
        <f>SUM(D118:D122)</f>
        <v>76200</v>
      </c>
      <c r="E117" s="15"/>
    </row>
    <row r="118" spans="1:5" ht="12.75">
      <c r="A118" s="21"/>
      <c r="B118" s="27">
        <v>4100</v>
      </c>
      <c r="C118" s="18" t="s">
        <v>66</v>
      </c>
      <c r="D118" s="22">
        <v>75000</v>
      </c>
      <c r="E118" s="15"/>
    </row>
    <row r="119" spans="1:5" ht="12.75">
      <c r="A119" s="21"/>
      <c r="B119" s="27">
        <v>4110</v>
      </c>
      <c r="C119" s="18" t="s">
        <v>39</v>
      </c>
      <c r="D119" s="22">
        <v>1000</v>
      </c>
      <c r="E119" s="15"/>
    </row>
    <row r="120" spans="1:5" ht="12.75">
      <c r="A120" s="21"/>
      <c r="B120" s="27">
        <v>4120</v>
      </c>
      <c r="C120" s="18" t="s">
        <v>40</v>
      </c>
      <c r="D120" s="22">
        <v>200</v>
      </c>
      <c r="E120" s="15"/>
    </row>
    <row r="121" spans="1:5" ht="12.75">
      <c r="A121" s="21"/>
      <c r="B121" s="27">
        <v>4210</v>
      </c>
      <c r="C121" s="18" t="s">
        <v>14</v>
      </c>
      <c r="D121" s="22"/>
      <c r="E121" s="15"/>
    </row>
    <row r="122" spans="1:5" ht="13.5" thickBot="1">
      <c r="A122" s="66"/>
      <c r="B122" s="56">
        <v>4300</v>
      </c>
      <c r="C122" s="57" t="s">
        <v>15</v>
      </c>
      <c r="D122" s="58"/>
      <c r="E122" s="15"/>
    </row>
    <row r="123" spans="1:5" ht="13.5" thickBot="1">
      <c r="A123" s="62">
        <v>757</v>
      </c>
      <c r="B123" s="63"/>
      <c r="C123" s="64" t="s">
        <v>67</v>
      </c>
      <c r="D123" s="65">
        <f>D126+D124</f>
        <v>0</v>
      </c>
      <c r="E123" s="15"/>
    </row>
    <row r="124" spans="1:5" ht="25.5">
      <c r="A124" s="59">
        <v>75702</v>
      </c>
      <c r="B124" s="60"/>
      <c r="C124" s="61" t="s">
        <v>68</v>
      </c>
      <c r="D124" s="28">
        <f>SUM(D125:D125)</f>
        <v>0</v>
      </c>
      <c r="E124" s="15"/>
    </row>
    <row r="125" spans="1:5" ht="25.5">
      <c r="A125" s="66"/>
      <c r="B125" s="56">
        <v>8070</v>
      </c>
      <c r="C125" s="57" t="s">
        <v>69</v>
      </c>
      <c r="D125" s="58"/>
      <c r="E125" s="15"/>
    </row>
    <row r="126" spans="1:5" ht="38.25">
      <c r="A126" s="31">
        <v>75704</v>
      </c>
      <c r="B126" s="26"/>
      <c r="C126" s="19" t="s">
        <v>138</v>
      </c>
      <c r="D126" s="20">
        <f>SUM(D127:D127)</f>
        <v>0</v>
      </c>
      <c r="E126" s="15"/>
    </row>
    <row r="127" spans="1:5" ht="13.5" thickBot="1">
      <c r="A127" s="53"/>
      <c r="B127" s="54">
        <v>8020</v>
      </c>
      <c r="C127" s="23" t="s">
        <v>137</v>
      </c>
      <c r="D127" s="24"/>
      <c r="E127" s="15"/>
    </row>
    <row r="128" spans="1:5" ht="13.5" thickBot="1">
      <c r="A128" s="62">
        <v>758</v>
      </c>
      <c r="B128" s="63"/>
      <c r="C128" s="64" t="s">
        <v>70</v>
      </c>
      <c r="D128" s="65">
        <f>SUM(D129)</f>
        <v>0</v>
      </c>
      <c r="E128" s="15"/>
    </row>
    <row r="129" spans="1:5" ht="12.75">
      <c r="A129" s="59">
        <v>75818</v>
      </c>
      <c r="B129" s="60"/>
      <c r="C129" s="61" t="s">
        <v>63</v>
      </c>
      <c r="D129" s="28">
        <f>SUM(D130)</f>
        <v>0</v>
      </c>
      <c r="E129" s="15"/>
    </row>
    <row r="130" spans="1:5" ht="13.5" thickBot="1">
      <c r="A130" s="66"/>
      <c r="B130" s="56">
        <v>4810</v>
      </c>
      <c r="C130" s="57" t="s">
        <v>133</v>
      </c>
      <c r="D130" s="58"/>
      <c r="E130" s="15"/>
    </row>
    <row r="131" spans="1:5" ht="13.5" thickBot="1">
      <c r="A131" s="62">
        <v>801</v>
      </c>
      <c r="B131" s="63"/>
      <c r="C131" s="64" t="s">
        <v>71</v>
      </c>
      <c r="D131" s="65">
        <f>SUM(D132,D154,D168,D193,D215,D229,D249,D253,D269)</f>
        <v>8146737</v>
      </c>
      <c r="E131" s="15"/>
    </row>
    <row r="132" spans="1:5" ht="12.75">
      <c r="A132" s="59">
        <v>80101</v>
      </c>
      <c r="B132" s="60"/>
      <c r="C132" s="61" t="s">
        <v>72</v>
      </c>
      <c r="D132" s="28">
        <f>SUM(D133:D153)</f>
        <v>4376589</v>
      </c>
      <c r="E132" s="15"/>
    </row>
    <row r="133" spans="1:5" ht="12.75">
      <c r="A133" s="21"/>
      <c r="B133" s="27">
        <v>3020</v>
      </c>
      <c r="C133" s="18" t="s">
        <v>73</v>
      </c>
      <c r="D133" s="22"/>
      <c r="E133" s="15"/>
    </row>
    <row r="134" spans="1:5" ht="12.75">
      <c r="A134" s="21"/>
      <c r="B134" s="27">
        <v>4010</v>
      </c>
      <c r="C134" s="18" t="s">
        <v>37</v>
      </c>
      <c r="D134" s="22">
        <v>3415961</v>
      </c>
      <c r="E134" s="15"/>
    </row>
    <row r="135" spans="1:5" ht="12.75">
      <c r="A135" s="21"/>
      <c r="B135" s="27">
        <v>4040</v>
      </c>
      <c r="C135" s="18" t="s">
        <v>38</v>
      </c>
      <c r="D135" s="22">
        <v>270240</v>
      </c>
      <c r="E135" s="15"/>
    </row>
    <row r="136" spans="1:5" ht="12.75">
      <c r="A136" s="21"/>
      <c r="B136" s="27">
        <v>4110</v>
      </c>
      <c r="C136" s="18" t="s">
        <v>39</v>
      </c>
      <c r="D136" s="22">
        <v>583654</v>
      </c>
      <c r="E136" s="15"/>
    </row>
    <row r="137" spans="1:5" ht="12.75">
      <c r="A137" s="21"/>
      <c r="B137" s="27">
        <v>4120</v>
      </c>
      <c r="C137" s="18" t="s">
        <v>40</v>
      </c>
      <c r="D137" s="22">
        <v>93134</v>
      </c>
      <c r="E137" s="15"/>
    </row>
    <row r="138" spans="1:5" ht="12.75">
      <c r="A138" s="21"/>
      <c r="B138" s="27">
        <v>4170</v>
      </c>
      <c r="C138" s="18" t="s">
        <v>42</v>
      </c>
      <c r="D138" s="22">
        <v>13600</v>
      </c>
      <c r="E138" s="15"/>
    </row>
    <row r="139" spans="1:5" ht="12.75">
      <c r="A139" s="21"/>
      <c r="B139" s="27">
        <v>4210</v>
      </c>
      <c r="C139" s="18" t="s">
        <v>14</v>
      </c>
      <c r="D139" s="22"/>
      <c r="E139" s="15"/>
    </row>
    <row r="140" spans="1:5" ht="12.75">
      <c r="A140" s="21"/>
      <c r="B140" s="27">
        <v>4240</v>
      </c>
      <c r="C140" s="18" t="s">
        <v>74</v>
      </c>
      <c r="D140" s="22"/>
      <c r="E140" s="15"/>
    </row>
    <row r="141" spans="1:5" ht="12.75">
      <c r="A141" s="21"/>
      <c r="B141" s="27">
        <v>4260</v>
      </c>
      <c r="C141" s="18" t="s">
        <v>43</v>
      </c>
      <c r="D141" s="22"/>
      <c r="E141" s="15"/>
    </row>
    <row r="142" spans="1:5" ht="12.75">
      <c r="A142" s="21"/>
      <c r="B142" s="27">
        <v>4270</v>
      </c>
      <c r="C142" s="18" t="s">
        <v>24</v>
      </c>
      <c r="D142" s="22"/>
      <c r="E142" s="15"/>
    </row>
    <row r="143" spans="1:5" ht="12.75">
      <c r="A143" s="21"/>
      <c r="B143" s="27">
        <v>4280</v>
      </c>
      <c r="C143" s="18" t="s">
        <v>44</v>
      </c>
      <c r="D143" s="22"/>
      <c r="E143" s="15"/>
    </row>
    <row r="144" spans="1:5" ht="12.75">
      <c r="A144" s="21"/>
      <c r="B144" s="27">
        <v>4300</v>
      </c>
      <c r="C144" s="18" t="s">
        <v>15</v>
      </c>
      <c r="D144" s="22"/>
      <c r="E144" s="15"/>
    </row>
    <row r="145" spans="1:5" ht="12.75">
      <c r="A145" s="21"/>
      <c r="B145" s="27">
        <v>4350</v>
      </c>
      <c r="C145" s="18" t="s">
        <v>45</v>
      </c>
      <c r="D145" s="22"/>
      <c r="E145" s="15"/>
    </row>
    <row r="146" spans="1:5" ht="25.5">
      <c r="A146" s="21"/>
      <c r="B146" s="27">
        <v>4360</v>
      </c>
      <c r="C146" s="18" t="s">
        <v>46</v>
      </c>
      <c r="D146" s="22"/>
      <c r="E146" s="15"/>
    </row>
    <row r="147" spans="1:5" ht="25.5">
      <c r="A147" s="21"/>
      <c r="B147" s="27">
        <v>4370</v>
      </c>
      <c r="C147" s="18" t="s">
        <v>47</v>
      </c>
      <c r="D147" s="22"/>
      <c r="E147" s="15"/>
    </row>
    <row r="148" spans="1:5" ht="12.75">
      <c r="A148" s="21"/>
      <c r="B148" s="27">
        <v>4410</v>
      </c>
      <c r="C148" s="18" t="s">
        <v>48</v>
      </c>
      <c r="D148" s="22"/>
      <c r="E148" s="15"/>
    </row>
    <row r="149" spans="1:5" ht="12.75">
      <c r="A149" s="21"/>
      <c r="B149" s="27">
        <v>4430</v>
      </c>
      <c r="C149" s="18" t="s">
        <v>16</v>
      </c>
      <c r="D149" s="22"/>
      <c r="E149" s="15"/>
    </row>
    <row r="150" spans="1:5" ht="12.75">
      <c r="A150" s="21"/>
      <c r="B150" s="27">
        <v>4440</v>
      </c>
      <c r="C150" s="18" t="s">
        <v>50</v>
      </c>
      <c r="D150" s="22"/>
      <c r="E150" s="15"/>
    </row>
    <row r="151" spans="1:5" ht="25.5">
      <c r="A151" s="21"/>
      <c r="B151" s="27">
        <v>4740</v>
      </c>
      <c r="C151" s="18" t="s">
        <v>52</v>
      </c>
      <c r="D151" s="22"/>
      <c r="E151" s="15"/>
    </row>
    <row r="152" spans="1:5" ht="12.75">
      <c r="A152" s="21"/>
      <c r="B152" s="27">
        <v>4750</v>
      </c>
      <c r="C152" s="18" t="s">
        <v>53</v>
      </c>
      <c r="D152" s="22"/>
      <c r="E152" s="15"/>
    </row>
    <row r="153" spans="1:5" ht="12.75">
      <c r="A153" s="21"/>
      <c r="B153" s="27">
        <v>6050</v>
      </c>
      <c r="C153" s="18" t="s">
        <v>61</v>
      </c>
      <c r="D153" s="22"/>
      <c r="E153" s="15"/>
    </row>
    <row r="154" spans="1:5" ht="12.75">
      <c r="A154" s="31">
        <v>80103</v>
      </c>
      <c r="B154" s="26"/>
      <c r="C154" s="19" t="s">
        <v>75</v>
      </c>
      <c r="D154" s="20">
        <f>SUM(D155:D167)</f>
        <v>202229</v>
      </c>
      <c r="E154" s="15"/>
    </row>
    <row r="155" spans="1:5" ht="12.75">
      <c r="A155" s="31"/>
      <c r="B155" s="27">
        <v>3020</v>
      </c>
      <c r="C155" s="18" t="s">
        <v>73</v>
      </c>
      <c r="D155" s="22"/>
      <c r="E155" s="15"/>
    </row>
    <row r="156" spans="1:5" ht="12.75">
      <c r="A156" s="31"/>
      <c r="B156" s="27">
        <v>4010</v>
      </c>
      <c r="C156" s="18" t="s">
        <v>37</v>
      </c>
      <c r="D156" s="22">
        <v>156187</v>
      </c>
      <c r="E156" s="15"/>
    </row>
    <row r="157" spans="1:5" ht="12.75">
      <c r="A157" s="31"/>
      <c r="B157" s="27">
        <v>4040</v>
      </c>
      <c r="C157" s="18" t="s">
        <v>38</v>
      </c>
      <c r="D157" s="22">
        <v>12046</v>
      </c>
      <c r="E157" s="15"/>
    </row>
    <row r="158" spans="1:5" ht="12.75">
      <c r="A158" s="31"/>
      <c r="B158" s="27">
        <v>4110</v>
      </c>
      <c r="C158" s="18" t="s">
        <v>39</v>
      </c>
      <c r="D158" s="22">
        <v>29322</v>
      </c>
      <c r="E158" s="15"/>
    </row>
    <row r="159" spans="1:5" ht="12.75">
      <c r="A159" s="31"/>
      <c r="B159" s="27">
        <v>4120</v>
      </c>
      <c r="C159" s="18" t="s">
        <v>40</v>
      </c>
      <c r="D159" s="22">
        <v>4674</v>
      </c>
      <c r="E159" s="15"/>
    </row>
    <row r="160" spans="1:5" ht="12.75">
      <c r="A160" s="31"/>
      <c r="B160" s="27">
        <v>4210</v>
      </c>
      <c r="C160" s="18" t="s">
        <v>14</v>
      </c>
      <c r="D160" s="22"/>
      <c r="E160" s="15"/>
    </row>
    <row r="161" spans="1:5" ht="12.75">
      <c r="A161" s="31"/>
      <c r="B161" s="27">
        <v>4240</v>
      </c>
      <c r="C161" s="18" t="s">
        <v>74</v>
      </c>
      <c r="D161" s="22"/>
      <c r="E161" s="15"/>
    </row>
    <row r="162" spans="1:5" ht="12.75">
      <c r="A162" s="31"/>
      <c r="B162" s="27">
        <v>4270</v>
      </c>
      <c r="C162" s="18" t="s">
        <v>24</v>
      </c>
      <c r="D162" s="22"/>
      <c r="E162" s="15"/>
    </row>
    <row r="163" spans="1:5" ht="12.75">
      <c r="A163" s="31"/>
      <c r="B163" s="27">
        <v>4280</v>
      </c>
      <c r="C163" s="18" t="s">
        <v>44</v>
      </c>
      <c r="D163" s="22"/>
      <c r="E163" s="15"/>
    </row>
    <row r="164" spans="1:5" ht="12.75">
      <c r="A164" s="31"/>
      <c r="B164" s="27">
        <v>4300</v>
      </c>
      <c r="C164" s="18" t="s">
        <v>15</v>
      </c>
      <c r="D164" s="22"/>
      <c r="E164" s="15"/>
    </row>
    <row r="165" spans="1:5" ht="12.75">
      <c r="A165" s="21"/>
      <c r="B165" s="27">
        <v>4410</v>
      </c>
      <c r="C165" s="18" t="s">
        <v>48</v>
      </c>
      <c r="D165" s="22"/>
      <c r="E165" s="15"/>
    </row>
    <row r="166" spans="1:5" ht="12.75">
      <c r="A166" s="21"/>
      <c r="B166" s="27">
        <v>4440</v>
      </c>
      <c r="C166" s="18" t="s">
        <v>50</v>
      </c>
      <c r="D166" s="22"/>
      <c r="E166" s="15"/>
    </row>
    <row r="167" spans="1:5" ht="25.5">
      <c r="A167" s="21"/>
      <c r="B167" s="27">
        <v>4740</v>
      </c>
      <c r="C167" s="18" t="s">
        <v>52</v>
      </c>
      <c r="D167" s="22"/>
      <c r="E167" s="15"/>
    </row>
    <row r="168" spans="1:5" ht="12.75">
      <c r="A168" s="31">
        <v>80104</v>
      </c>
      <c r="B168" s="26"/>
      <c r="C168" s="19" t="s">
        <v>77</v>
      </c>
      <c r="D168" s="20">
        <f>SUM(D169:D192)</f>
        <v>825554</v>
      </c>
      <c r="E168" s="15"/>
    </row>
    <row r="169" spans="1:5" ht="33.75">
      <c r="A169" s="31"/>
      <c r="B169" s="27">
        <v>2310</v>
      </c>
      <c r="C169" s="44" t="s">
        <v>20</v>
      </c>
      <c r="D169" s="22"/>
      <c r="E169" s="15"/>
    </row>
    <row r="170" spans="1:5" ht="12.75">
      <c r="A170" s="21"/>
      <c r="B170" s="27">
        <v>3020</v>
      </c>
      <c r="C170" s="18" t="s">
        <v>73</v>
      </c>
      <c r="D170" s="22"/>
      <c r="E170" s="15"/>
    </row>
    <row r="171" spans="1:5" ht="12.75">
      <c r="A171" s="21"/>
      <c r="B171" s="27">
        <v>4010</v>
      </c>
      <c r="C171" s="18" t="s">
        <v>37</v>
      </c>
      <c r="D171" s="22">
        <v>645624</v>
      </c>
      <c r="E171" s="15"/>
    </row>
    <row r="172" spans="1:5" ht="12.75">
      <c r="A172" s="21"/>
      <c r="B172" s="27">
        <v>4040</v>
      </c>
      <c r="C172" s="18" t="s">
        <v>38</v>
      </c>
      <c r="D172" s="22">
        <v>49137</v>
      </c>
      <c r="E172" s="15"/>
    </row>
    <row r="173" spans="1:5" ht="12.75">
      <c r="A173" s="21"/>
      <c r="B173" s="27">
        <v>4110</v>
      </c>
      <c r="C173" s="18" t="s">
        <v>39</v>
      </c>
      <c r="D173" s="22">
        <v>110783</v>
      </c>
      <c r="E173" s="15"/>
    </row>
    <row r="174" spans="1:5" ht="12.75">
      <c r="A174" s="21"/>
      <c r="B174" s="27">
        <v>4120</v>
      </c>
      <c r="C174" s="18" t="s">
        <v>40</v>
      </c>
      <c r="D174" s="22">
        <v>18010</v>
      </c>
      <c r="E174" s="15"/>
    </row>
    <row r="175" spans="1:5" ht="12.75">
      <c r="A175" s="21"/>
      <c r="B175" s="27">
        <v>4170</v>
      </c>
      <c r="C175" s="18" t="s">
        <v>42</v>
      </c>
      <c r="D175" s="22">
        <v>2000</v>
      </c>
      <c r="E175" s="15"/>
    </row>
    <row r="176" spans="1:5" ht="12.75">
      <c r="A176" s="21"/>
      <c r="B176" s="27">
        <v>4210</v>
      </c>
      <c r="C176" s="18" t="s">
        <v>14</v>
      </c>
      <c r="D176" s="22"/>
      <c r="E176" s="15"/>
    </row>
    <row r="177" spans="1:5" ht="12.75">
      <c r="A177" s="21"/>
      <c r="B177" s="27">
        <v>4220</v>
      </c>
      <c r="C177" s="18" t="s">
        <v>78</v>
      </c>
      <c r="D177" s="22"/>
      <c r="E177" s="15"/>
    </row>
    <row r="178" spans="1:5" ht="12.75">
      <c r="A178" s="21"/>
      <c r="B178" s="27">
        <v>4240</v>
      </c>
      <c r="C178" s="18" t="s">
        <v>76</v>
      </c>
      <c r="D178" s="22"/>
      <c r="E178" s="15"/>
    </row>
    <row r="179" spans="1:5" ht="12.75">
      <c r="A179" s="21"/>
      <c r="B179" s="27">
        <v>4260</v>
      </c>
      <c r="C179" s="18" t="s">
        <v>43</v>
      </c>
      <c r="D179" s="22"/>
      <c r="E179" s="15"/>
    </row>
    <row r="180" spans="1:5" ht="12.75">
      <c r="A180" s="21"/>
      <c r="B180" s="27">
        <v>4270</v>
      </c>
      <c r="C180" s="18" t="s">
        <v>24</v>
      </c>
      <c r="D180" s="22"/>
      <c r="E180" s="15"/>
    </row>
    <row r="181" spans="1:5" ht="12.75">
      <c r="A181" s="21"/>
      <c r="B181" s="27">
        <v>4280</v>
      </c>
      <c r="C181" s="18" t="s">
        <v>44</v>
      </c>
      <c r="D181" s="22"/>
      <c r="E181" s="15"/>
    </row>
    <row r="182" spans="1:5" ht="12.75">
      <c r="A182" s="21"/>
      <c r="B182" s="27">
        <v>4300</v>
      </c>
      <c r="C182" s="18" t="s">
        <v>15</v>
      </c>
      <c r="D182" s="22"/>
      <c r="E182" s="15"/>
    </row>
    <row r="183" spans="1:5" ht="12.75">
      <c r="A183" s="21"/>
      <c r="B183" s="27">
        <v>4350</v>
      </c>
      <c r="C183" s="18" t="s">
        <v>45</v>
      </c>
      <c r="D183" s="22"/>
      <c r="E183" s="15"/>
    </row>
    <row r="184" spans="1:5" ht="25.5">
      <c r="A184" s="21"/>
      <c r="B184" s="27">
        <v>4370</v>
      </c>
      <c r="C184" s="18" t="s">
        <v>47</v>
      </c>
      <c r="D184" s="22"/>
      <c r="E184" s="15"/>
    </row>
    <row r="185" spans="1:5" ht="12.75">
      <c r="A185" s="21"/>
      <c r="B185" s="27">
        <v>4390</v>
      </c>
      <c r="C185" s="18" t="s">
        <v>79</v>
      </c>
      <c r="D185" s="22"/>
      <c r="E185" s="15"/>
    </row>
    <row r="186" spans="1:5" ht="12.75">
      <c r="A186" s="21"/>
      <c r="B186" s="27">
        <v>4410</v>
      </c>
      <c r="C186" s="18" t="s">
        <v>48</v>
      </c>
      <c r="D186" s="22"/>
      <c r="E186" s="15"/>
    </row>
    <row r="187" spans="1:5" ht="12.75">
      <c r="A187" s="21"/>
      <c r="B187" s="27">
        <v>4430</v>
      </c>
      <c r="C187" s="18" t="s">
        <v>16</v>
      </c>
      <c r="D187" s="22"/>
      <c r="E187" s="15"/>
    </row>
    <row r="188" spans="1:5" ht="12.75">
      <c r="A188" s="21"/>
      <c r="B188" s="27">
        <v>4440</v>
      </c>
      <c r="C188" s="18" t="s">
        <v>50</v>
      </c>
      <c r="D188" s="22"/>
      <c r="E188" s="15"/>
    </row>
    <row r="189" spans="1:5" ht="25.5">
      <c r="A189" s="21"/>
      <c r="B189" s="27">
        <v>4740</v>
      </c>
      <c r="C189" s="18" t="s">
        <v>52</v>
      </c>
      <c r="D189" s="22"/>
      <c r="E189" s="15"/>
    </row>
    <row r="190" spans="1:5" ht="12.75">
      <c r="A190" s="21"/>
      <c r="B190" s="27">
        <v>4750</v>
      </c>
      <c r="C190" s="18" t="s">
        <v>53</v>
      </c>
      <c r="D190" s="22"/>
      <c r="E190" s="15"/>
    </row>
    <row r="191" spans="1:5" ht="12.75">
      <c r="A191" s="21"/>
      <c r="B191" s="27">
        <v>6050</v>
      </c>
      <c r="C191" s="18" t="s">
        <v>26</v>
      </c>
      <c r="D191" s="22"/>
      <c r="E191" s="15"/>
    </row>
    <row r="192" spans="1:5" ht="12.75">
      <c r="A192" s="21"/>
      <c r="B192" s="27">
        <v>6060</v>
      </c>
      <c r="C192" s="18" t="s">
        <v>61</v>
      </c>
      <c r="D192" s="22"/>
      <c r="E192" s="15"/>
    </row>
    <row r="193" spans="1:5" ht="12.75">
      <c r="A193" s="31">
        <v>80110</v>
      </c>
      <c r="B193" s="26"/>
      <c r="C193" s="19" t="s">
        <v>80</v>
      </c>
      <c r="D193" s="20">
        <f>SUM(D194:D214)</f>
        <v>2288852</v>
      </c>
      <c r="E193" s="15"/>
    </row>
    <row r="194" spans="1:5" ht="12.75">
      <c r="A194" s="21"/>
      <c r="B194" s="27">
        <v>3020</v>
      </c>
      <c r="C194" s="18" t="s">
        <v>73</v>
      </c>
      <c r="D194" s="22"/>
      <c r="E194" s="15"/>
    </row>
    <row r="195" spans="1:5" ht="12.75">
      <c r="A195" s="21"/>
      <c r="B195" s="27">
        <v>4010</v>
      </c>
      <c r="C195" s="18" t="s">
        <v>37</v>
      </c>
      <c r="D195" s="22">
        <v>1800857</v>
      </c>
      <c r="E195" s="15"/>
    </row>
    <row r="196" spans="1:5" ht="12.75">
      <c r="A196" s="21"/>
      <c r="B196" s="27">
        <v>4040</v>
      </c>
      <c r="C196" s="18" t="s">
        <v>38</v>
      </c>
      <c r="D196" s="22">
        <v>134000</v>
      </c>
      <c r="E196" s="15"/>
    </row>
    <row r="197" spans="1:5" ht="12.75">
      <c r="A197" s="21"/>
      <c r="B197" s="27">
        <v>4110</v>
      </c>
      <c r="C197" s="18" t="s">
        <v>39</v>
      </c>
      <c r="D197" s="22">
        <v>302468</v>
      </c>
      <c r="E197" s="15"/>
    </row>
    <row r="198" spans="1:5" ht="12.75">
      <c r="A198" s="21"/>
      <c r="B198" s="27">
        <v>4120</v>
      </c>
      <c r="C198" s="18" t="s">
        <v>40</v>
      </c>
      <c r="D198" s="22">
        <v>49879</v>
      </c>
      <c r="E198" s="15"/>
    </row>
    <row r="199" spans="1:5" ht="12.75">
      <c r="A199" s="21"/>
      <c r="B199" s="27">
        <v>4170</v>
      </c>
      <c r="C199" s="18" t="s">
        <v>42</v>
      </c>
      <c r="D199" s="22">
        <v>1648</v>
      </c>
      <c r="E199" s="15"/>
    </row>
    <row r="200" spans="1:5" ht="12.75">
      <c r="A200" s="21"/>
      <c r="B200" s="27">
        <v>4210</v>
      </c>
      <c r="C200" s="18" t="s">
        <v>14</v>
      </c>
      <c r="D200" s="22"/>
      <c r="E200" s="15"/>
    </row>
    <row r="201" spans="1:5" ht="12.75">
      <c r="A201" s="21"/>
      <c r="B201" s="27">
        <v>4240</v>
      </c>
      <c r="C201" s="18" t="s">
        <v>76</v>
      </c>
      <c r="D201" s="22"/>
      <c r="E201" s="15"/>
    </row>
    <row r="202" spans="1:5" ht="12.75">
      <c r="A202" s="21"/>
      <c r="B202" s="27">
        <v>4260</v>
      </c>
      <c r="C202" s="18" t="s">
        <v>43</v>
      </c>
      <c r="D202" s="22"/>
      <c r="E202" s="15"/>
    </row>
    <row r="203" spans="1:5" ht="12.75">
      <c r="A203" s="21"/>
      <c r="B203" s="27">
        <v>4270</v>
      </c>
      <c r="C203" s="18" t="s">
        <v>24</v>
      </c>
      <c r="D203" s="22"/>
      <c r="E203" s="15"/>
    </row>
    <row r="204" spans="1:5" ht="12.75">
      <c r="A204" s="21"/>
      <c r="B204" s="27">
        <v>4280</v>
      </c>
      <c r="C204" s="18" t="s">
        <v>44</v>
      </c>
      <c r="D204" s="22"/>
      <c r="E204" s="15"/>
    </row>
    <row r="205" spans="1:5" ht="12.75">
      <c r="A205" s="21"/>
      <c r="B205" s="27">
        <v>4300</v>
      </c>
      <c r="C205" s="18" t="s">
        <v>15</v>
      </c>
      <c r="D205" s="22"/>
      <c r="E205" s="15"/>
    </row>
    <row r="206" spans="1:5" ht="12.75">
      <c r="A206" s="21"/>
      <c r="B206" s="27">
        <v>4350</v>
      </c>
      <c r="C206" s="18" t="s">
        <v>45</v>
      </c>
      <c r="D206" s="22"/>
      <c r="E206" s="15"/>
    </row>
    <row r="207" spans="1:5" ht="25.5">
      <c r="A207" s="21"/>
      <c r="B207" s="27">
        <v>4360</v>
      </c>
      <c r="C207" s="18" t="s">
        <v>46</v>
      </c>
      <c r="D207" s="22"/>
      <c r="E207" s="15"/>
    </row>
    <row r="208" spans="1:5" ht="25.5">
      <c r="A208" s="21"/>
      <c r="B208" s="27">
        <v>4370</v>
      </c>
      <c r="C208" s="18" t="s">
        <v>47</v>
      </c>
      <c r="D208" s="22"/>
      <c r="E208" s="15"/>
    </row>
    <row r="209" spans="1:5" ht="12.75">
      <c r="A209" s="21"/>
      <c r="B209" s="27">
        <v>4410</v>
      </c>
      <c r="C209" s="18" t="s">
        <v>48</v>
      </c>
      <c r="D209" s="22"/>
      <c r="E209" s="15"/>
    </row>
    <row r="210" spans="1:5" ht="12.75">
      <c r="A210" s="21"/>
      <c r="B210" s="27">
        <v>4430</v>
      </c>
      <c r="C210" s="18" t="s">
        <v>16</v>
      </c>
      <c r="D210" s="22"/>
      <c r="E210" s="15"/>
    </row>
    <row r="211" spans="1:5" ht="12.75">
      <c r="A211" s="21"/>
      <c r="B211" s="27">
        <v>4440</v>
      </c>
      <c r="C211" s="18" t="s">
        <v>50</v>
      </c>
      <c r="D211" s="22"/>
      <c r="E211" s="15"/>
    </row>
    <row r="212" spans="1:5" ht="25.5">
      <c r="A212" s="21"/>
      <c r="B212" s="27">
        <v>4740</v>
      </c>
      <c r="C212" s="18" t="s">
        <v>52</v>
      </c>
      <c r="D212" s="22"/>
      <c r="E212" s="15"/>
    </row>
    <row r="213" spans="1:5" ht="12.75">
      <c r="A213" s="21"/>
      <c r="B213" s="27">
        <v>4750</v>
      </c>
      <c r="C213" s="18" t="s">
        <v>53</v>
      </c>
      <c r="D213" s="22"/>
      <c r="E213" s="15"/>
    </row>
    <row r="214" spans="1:5" ht="12.75">
      <c r="A214" s="21"/>
      <c r="B214" s="27">
        <v>6060</v>
      </c>
      <c r="C214" s="18" t="s">
        <v>61</v>
      </c>
      <c r="D214" s="22"/>
      <c r="E214" s="15"/>
    </row>
    <row r="215" spans="1:5" ht="12.75">
      <c r="A215" s="31">
        <v>80113</v>
      </c>
      <c r="B215" s="26"/>
      <c r="C215" s="19" t="s">
        <v>81</v>
      </c>
      <c r="D215" s="20">
        <f>SUM(D216:D228)</f>
        <v>61799</v>
      </c>
      <c r="E215" s="15"/>
    </row>
    <row r="216" spans="1:5" ht="12.75">
      <c r="A216" s="31"/>
      <c r="B216" s="27">
        <v>3020</v>
      </c>
      <c r="C216" s="18" t="s">
        <v>73</v>
      </c>
      <c r="D216" s="22"/>
      <c r="E216" s="15"/>
    </row>
    <row r="217" spans="1:5" ht="12.75">
      <c r="A217" s="21"/>
      <c r="B217" s="27">
        <v>4010</v>
      </c>
      <c r="C217" s="18" t="s">
        <v>37</v>
      </c>
      <c r="D217" s="22">
        <v>48476</v>
      </c>
      <c r="E217" s="15"/>
    </row>
    <row r="218" spans="1:5" ht="12.75">
      <c r="A218" s="21"/>
      <c r="B218" s="27">
        <v>4040</v>
      </c>
      <c r="C218" s="18" t="s">
        <v>38</v>
      </c>
      <c r="D218" s="22">
        <v>3670</v>
      </c>
      <c r="E218" s="15"/>
    </row>
    <row r="219" spans="1:5" ht="12.75">
      <c r="A219" s="21"/>
      <c r="B219" s="27">
        <v>4110</v>
      </c>
      <c r="C219" s="18" t="s">
        <v>39</v>
      </c>
      <c r="D219" s="22">
        <v>8375</v>
      </c>
      <c r="E219" s="15"/>
    </row>
    <row r="220" spans="1:5" ht="12.75">
      <c r="A220" s="21"/>
      <c r="B220" s="27">
        <v>4120</v>
      </c>
      <c r="C220" s="18" t="s">
        <v>40</v>
      </c>
      <c r="D220" s="22">
        <v>1278</v>
      </c>
      <c r="E220" s="15"/>
    </row>
    <row r="221" spans="1:5" ht="12.75">
      <c r="A221" s="21"/>
      <c r="B221" s="27">
        <v>4210</v>
      </c>
      <c r="C221" s="18" t="s">
        <v>14</v>
      </c>
      <c r="D221" s="22"/>
      <c r="E221" s="15"/>
    </row>
    <row r="222" spans="1:5" ht="12.75">
      <c r="A222" s="21"/>
      <c r="B222" s="27">
        <v>4270</v>
      </c>
      <c r="C222" s="18" t="s">
        <v>24</v>
      </c>
      <c r="D222" s="22"/>
      <c r="E222" s="15"/>
    </row>
    <row r="223" spans="1:5" ht="12.75">
      <c r="A223" s="21"/>
      <c r="B223" s="27">
        <v>4280</v>
      </c>
      <c r="C223" s="18" t="s">
        <v>44</v>
      </c>
      <c r="D223" s="22"/>
      <c r="E223" s="15"/>
    </row>
    <row r="224" spans="1:5" ht="12.75">
      <c r="A224" s="21"/>
      <c r="B224" s="27">
        <v>4300</v>
      </c>
      <c r="C224" s="18" t="s">
        <v>15</v>
      </c>
      <c r="D224" s="22"/>
      <c r="E224" s="15"/>
    </row>
    <row r="225" spans="1:5" ht="25.5">
      <c r="A225" s="21"/>
      <c r="B225" s="27">
        <v>4360</v>
      </c>
      <c r="C225" s="18" t="s">
        <v>46</v>
      </c>
      <c r="D225" s="22"/>
      <c r="E225" s="15"/>
    </row>
    <row r="226" spans="1:5" ht="12.75">
      <c r="A226" s="21"/>
      <c r="B226" s="27">
        <v>4410</v>
      </c>
      <c r="C226" s="27" t="s">
        <v>48</v>
      </c>
      <c r="D226" s="22"/>
      <c r="E226" s="15"/>
    </row>
    <row r="227" spans="1:5" ht="12.75">
      <c r="A227" s="21"/>
      <c r="B227" s="27">
        <v>4430</v>
      </c>
      <c r="C227" s="18" t="s">
        <v>16</v>
      </c>
      <c r="D227" s="22"/>
      <c r="E227" s="15"/>
    </row>
    <row r="228" spans="1:5" ht="12.75">
      <c r="A228" s="21"/>
      <c r="B228" s="27">
        <v>4440</v>
      </c>
      <c r="C228" s="18" t="s">
        <v>50</v>
      </c>
      <c r="D228" s="22"/>
      <c r="E228" s="15"/>
    </row>
    <row r="229" spans="1:5" ht="12.75">
      <c r="A229" s="31">
        <v>80114</v>
      </c>
      <c r="B229" s="26"/>
      <c r="C229" s="19" t="s">
        <v>82</v>
      </c>
      <c r="D229" s="20">
        <f>SUM(D230:D248)</f>
        <v>277067</v>
      </c>
      <c r="E229" s="15"/>
    </row>
    <row r="230" spans="1:5" ht="12.75">
      <c r="A230" s="31"/>
      <c r="B230" s="27">
        <v>3020</v>
      </c>
      <c r="C230" s="18" t="s">
        <v>73</v>
      </c>
      <c r="D230" s="22"/>
      <c r="E230" s="15"/>
    </row>
    <row r="231" spans="1:5" ht="12.75">
      <c r="A231" s="21"/>
      <c r="B231" s="27">
        <v>4010</v>
      </c>
      <c r="C231" s="18" t="s">
        <v>37</v>
      </c>
      <c r="D231" s="22">
        <v>213553</v>
      </c>
      <c r="E231" s="15"/>
    </row>
    <row r="232" spans="1:5" ht="12.75">
      <c r="A232" s="21"/>
      <c r="B232" s="27">
        <v>4040</v>
      </c>
      <c r="C232" s="18" t="s">
        <v>38</v>
      </c>
      <c r="D232" s="22">
        <v>16300</v>
      </c>
      <c r="E232" s="15"/>
    </row>
    <row r="233" spans="1:5" ht="12.75">
      <c r="A233" s="21"/>
      <c r="B233" s="27">
        <v>4110</v>
      </c>
      <c r="C233" s="18" t="s">
        <v>39</v>
      </c>
      <c r="D233" s="22">
        <v>36626</v>
      </c>
      <c r="E233" s="15"/>
    </row>
    <row r="234" spans="1:5" ht="12.75">
      <c r="A234" s="21"/>
      <c r="B234" s="27">
        <v>4120</v>
      </c>
      <c r="C234" s="18" t="s">
        <v>40</v>
      </c>
      <c r="D234" s="22">
        <v>5588</v>
      </c>
      <c r="E234" s="15"/>
    </row>
    <row r="235" spans="1:5" ht="12.75">
      <c r="A235" s="21"/>
      <c r="B235" s="27">
        <v>4170</v>
      </c>
      <c r="C235" s="18" t="s">
        <v>42</v>
      </c>
      <c r="D235" s="22">
        <v>5000</v>
      </c>
      <c r="E235" s="15"/>
    </row>
    <row r="236" spans="1:5" ht="12.75">
      <c r="A236" s="21"/>
      <c r="B236" s="27">
        <v>4210</v>
      </c>
      <c r="C236" s="18" t="s">
        <v>14</v>
      </c>
      <c r="D236" s="22"/>
      <c r="E236" s="15"/>
    </row>
    <row r="237" spans="1:5" ht="12.75">
      <c r="A237" s="21"/>
      <c r="B237" s="27">
        <v>4260</v>
      </c>
      <c r="C237" s="18" t="s">
        <v>43</v>
      </c>
      <c r="D237" s="22"/>
      <c r="E237" s="15"/>
    </row>
    <row r="238" spans="1:5" ht="12.75">
      <c r="A238" s="21"/>
      <c r="B238" s="27">
        <v>4270</v>
      </c>
      <c r="C238" s="18" t="s">
        <v>24</v>
      </c>
      <c r="D238" s="22"/>
      <c r="E238" s="15"/>
    </row>
    <row r="239" spans="1:5" ht="12.75">
      <c r="A239" s="21"/>
      <c r="B239" s="27">
        <v>4280</v>
      </c>
      <c r="C239" s="18" t="s">
        <v>44</v>
      </c>
      <c r="D239" s="22"/>
      <c r="E239" s="15"/>
    </row>
    <row r="240" spans="1:5" ht="12.75">
      <c r="A240" s="21"/>
      <c r="B240" s="27">
        <v>4300</v>
      </c>
      <c r="C240" s="18" t="s">
        <v>15</v>
      </c>
      <c r="D240" s="22"/>
      <c r="E240" s="15"/>
    </row>
    <row r="241" spans="1:5" ht="12.75">
      <c r="A241" s="21"/>
      <c r="B241" s="27">
        <v>4350</v>
      </c>
      <c r="C241" s="18" t="s">
        <v>45</v>
      </c>
      <c r="D241" s="22"/>
      <c r="E241" s="15"/>
    </row>
    <row r="242" spans="1:5" ht="25.5">
      <c r="A242" s="21"/>
      <c r="B242" s="27">
        <v>4370</v>
      </c>
      <c r="C242" s="18" t="s">
        <v>47</v>
      </c>
      <c r="D242" s="22"/>
      <c r="E242" s="15"/>
    </row>
    <row r="243" spans="1:5" ht="12.75">
      <c r="A243" s="21"/>
      <c r="B243" s="27">
        <v>4410</v>
      </c>
      <c r="C243" s="18" t="s">
        <v>48</v>
      </c>
      <c r="D243" s="22"/>
      <c r="E243" s="15"/>
    </row>
    <row r="244" spans="1:5" ht="12.75">
      <c r="A244" s="21"/>
      <c r="B244" s="27">
        <v>4430</v>
      </c>
      <c r="C244" s="18" t="s">
        <v>16</v>
      </c>
      <c r="D244" s="22"/>
      <c r="E244" s="15"/>
    </row>
    <row r="245" spans="1:5" ht="12.75">
      <c r="A245" s="21"/>
      <c r="B245" s="27">
        <v>4440</v>
      </c>
      <c r="C245" s="18" t="s">
        <v>50</v>
      </c>
      <c r="D245" s="22"/>
      <c r="E245" s="15"/>
    </row>
    <row r="246" spans="1:5" ht="25.5">
      <c r="A246" s="21"/>
      <c r="B246" s="27">
        <v>4740</v>
      </c>
      <c r="C246" s="18" t="s">
        <v>52</v>
      </c>
      <c r="D246" s="22"/>
      <c r="E246" s="15"/>
    </row>
    <row r="247" spans="1:5" ht="12.75">
      <c r="A247" s="21"/>
      <c r="B247" s="27">
        <v>4750</v>
      </c>
      <c r="C247" s="18" t="s">
        <v>53</v>
      </c>
      <c r="D247" s="22"/>
      <c r="E247" s="15"/>
    </row>
    <row r="248" spans="1:5" ht="12.75">
      <c r="A248" s="21"/>
      <c r="B248" s="27">
        <v>6060</v>
      </c>
      <c r="C248" s="18" t="s">
        <v>61</v>
      </c>
      <c r="D248" s="22"/>
      <c r="E248" s="15"/>
    </row>
    <row r="249" spans="1:5" ht="12.75">
      <c r="A249" s="31">
        <v>80146</v>
      </c>
      <c r="B249" s="26"/>
      <c r="C249" s="19" t="s">
        <v>83</v>
      </c>
      <c r="D249" s="20">
        <f>SUM(D250:D252)</f>
        <v>0</v>
      </c>
      <c r="E249" s="15"/>
    </row>
    <row r="250" spans="1:5" ht="12.75">
      <c r="A250" s="21"/>
      <c r="B250" s="27">
        <v>4210</v>
      </c>
      <c r="C250" s="18" t="s">
        <v>14</v>
      </c>
      <c r="D250" s="22"/>
      <c r="E250" s="15"/>
    </row>
    <row r="251" spans="1:5" ht="12.75">
      <c r="A251" s="21"/>
      <c r="B251" s="27">
        <v>4300</v>
      </c>
      <c r="C251" s="18" t="s">
        <v>15</v>
      </c>
      <c r="D251" s="22"/>
      <c r="E251" s="15"/>
    </row>
    <row r="252" spans="1:5" ht="12.75">
      <c r="A252" s="21"/>
      <c r="B252" s="27">
        <v>4410</v>
      </c>
      <c r="C252" s="18" t="s">
        <v>48</v>
      </c>
      <c r="D252" s="22"/>
      <c r="E252" s="15"/>
    </row>
    <row r="253" spans="1:5" ht="12.75">
      <c r="A253" s="31">
        <v>80148</v>
      </c>
      <c r="B253" s="26"/>
      <c r="C253" s="19" t="s">
        <v>84</v>
      </c>
      <c r="D253" s="20">
        <f>SUM(D254:D268)</f>
        <v>114647</v>
      </c>
      <c r="E253" s="15"/>
    </row>
    <row r="254" spans="1:5" ht="12.75">
      <c r="A254" s="31"/>
      <c r="B254" s="27">
        <v>3020</v>
      </c>
      <c r="C254" s="18" t="s">
        <v>73</v>
      </c>
      <c r="D254" s="22"/>
      <c r="E254" s="15"/>
    </row>
    <row r="255" spans="1:5" ht="12.75">
      <c r="A255" s="31"/>
      <c r="B255" s="27">
        <v>4010</v>
      </c>
      <c r="C255" s="18" t="s">
        <v>37</v>
      </c>
      <c r="D255" s="22">
        <v>90930</v>
      </c>
      <c r="E255" s="15"/>
    </row>
    <row r="256" spans="1:5" ht="12.75">
      <c r="A256" s="31"/>
      <c r="B256" s="27">
        <v>4040</v>
      </c>
      <c r="C256" s="18" t="s">
        <v>38</v>
      </c>
      <c r="D256" s="22">
        <v>6500</v>
      </c>
      <c r="E256" s="15"/>
    </row>
    <row r="257" spans="1:5" ht="12.75">
      <c r="A257" s="31"/>
      <c r="B257" s="27">
        <v>4110</v>
      </c>
      <c r="C257" s="18" t="s">
        <v>39</v>
      </c>
      <c r="D257" s="22">
        <v>14829</v>
      </c>
      <c r="E257" s="15"/>
    </row>
    <row r="258" spans="1:5" ht="12.75">
      <c r="A258" s="31"/>
      <c r="B258" s="27">
        <v>4120</v>
      </c>
      <c r="C258" s="18" t="s">
        <v>40</v>
      </c>
      <c r="D258" s="22">
        <v>2388</v>
      </c>
      <c r="E258" s="15"/>
    </row>
    <row r="259" spans="1:5" ht="12.75">
      <c r="A259" s="31"/>
      <c r="B259" s="27">
        <v>4210</v>
      </c>
      <c r="C259" s="18" t="s">
        <v>14</v>
      </c>
      <c r="D259" s="22"/>
      <c r="E259" s="15"/>
    </row>
    <row r="260" spans="1:5" ht="12.75">
      <c r="A260" s="31"/>
      <c r="B260" s="27">
        <v>4220</v>
      </c>
      <c r="C260" s="18" t="s">
        <v>78</v>
      </c>
      <c r="D260" s="22"/>
      <c r="E260" s="15"/>
    </row>
    <row r="261" spans="1:5" ht="12.75">
      <c r="A261" s="31"/>
      <c r="B261" s="27">
        <v>4270</v>
      </c>
      <c r="C261" s="18" t="s">
        <v>24</v>
      </c>
      <c r="D261" s="22"/>
      <c r="E261" s="15"/>
    </row>
    <row r="262" spans="1:5" ht="12.75">
      <c r="A262" s="31"/>
      <c r="B262" s="27">
        <v>4280</v>
      </c>
      <c r="C262" s="18" t="s">
        <v>44</v>
      </c>
      <c r="D262" s="22"/>
      <c r="E262" s="15"/>
    </row>
    <row r="263" spans="1:5" ht="12.75">
      <c r="A263" s="31"/>
      <c r="B263" s="27">
        <v>4300</v>
      </c>
      <c r="C263" s="18" t="s">
        <v>15</v>
      </c>
      <c r="D263" s="22"/>
      <c r="E263" s="15"/>
    </row>
    <row r="264" spans="1:5" ht="12.75">
      <c r="A264" s="31"/>
      <c r="B264" s="27">
        <v>4410</v>
      </c>
      <c r="C264" s="18" t="s">
        <v>48</v>
      </c>
      <c r="D264" s="22"/>
      <c r="E264" s="15"/>
    </row>
    <row r="265" spans="1:5" ht="12.75">
      <c r="A265" s="31"/>
      <c r="B265" s="27">
        <v>4430</v>
      </c>
      <c r="C265" s="18" t="s">
        <v>16</v>
      </c>
      <c r="D265" s="22"/>
      <c r="E265" s="15"/>
    </row>
    <row r="266" spans="1:5" ht="12.75">
      <c r="A266" s="31"/>
      <c r="B266" s="27">
        <v>4440</v>
      </c>
      <c r="C266" s="18" t="s">
        <v>50</v>
      </c>
      <c r="D266" s="22"/>
      <c r="E266" s="15"/>
    </row>
    <row r="267" spans="1:5" ht="25.5">
      <c r="A267" s="31"/>
      <c r="B267" s="27">
        <v>4740</v>
      </c>
      <c r="C267" s="18" t="s">
        <v>52</v>
      </c>
      <c r="D267" s="22"/>
      <c r="E267" s="15"/>
    </row>
    <row r="268" spans="1:5" ht="12.75">
      <c r="A268" s="31"/>
      <c r="B268" s="27">
        <v>4750</v>
      </c>
      <c r="C268" s="18" t="s">
        <v>53</v>
      </c>
      <c r="D268" s="22"/>
      <c r="E268" s="15"/>
    </row>
    <row r="269" spans="1:5" ht="12.75">
      <c r="A269" s="31">
        <v>80195</v>
      </c>
      <c r="B269" s="26"/>
      <c r="C269" s="19" t="s">
        <v>13</v>
      </c>
      <c r="D269" s="20">
        <f>SUM(D270:D271)</f>
        <v>0</v>
      </c>
      <c r="E269" s="15"/>
    </row>
    <row r="270" spans="1:5" ht="12.75">
      <c r="A270" s="31"/>
      <c r="B270" s="27">
        <v>4300</v>
      </c>
      <c r="C270" s="27" t="s">
        <v>15</v>
      </c>
      <c r="D270" s="22"/>
      <c r="E270" s="15"/>
    </row>
    <row r="271" spans="1:5" ht="13.5" thickBot="1">
      <c r="A271" s="66"/>
      <c r="B271" s="56">
        <v>4440</v>
      </c>
      <c r="C271" s="57" t="s">
        <v>50</v>
      </c>
      <c r="D271" s="58"/>
      <c r="E271" s="15"/>
    </row>
    <row r="272" spans="1:5" ht="13.5" thickBot="1">
      <c r="A272" s="62">
        <v>851</v>
      </c>
      <c r="B272" s="63"/>
      <c r="C272" s="64" t="s">
        <v>85</v>
      </c>
      <c r="D272" s="65">
        <f>SUM(D273,D276)</f>
        <v>18000</v>
      </c>
      <c r="E272" s="15"/>
    </row>
    <row r="273" spans="1:5" ht="12.75">
      <c r="A273" s="59">
        <v>85153</v>
      </c>
      <c r="B273" s="60"/>
      <c r="C273" s="60" t="s">
        <v>86</v>
      </c>
      <c r="D273" s="28">
        <f>SUM(D274:D275)</f>
        <v>0</v>
      </c>
      <c r="E273" s="15"/>
    </row>
    <row r="274" spans="1:5" ht="12.75">
      <c r="A274" s="21"/>
      <c r="B274" s="27">
        <v>4210</v>
      </c>
      <c r="C274" s="27" t="s">
        <v>14</v>
      </c>
      <c r="D274" s="22"/>
      <c r="E274" s="15"/>
    </row>
    <row r="275" spans="1:5" ht="12.75">
      <c r="A275" s="21"/>
      <c r="B275" s="27">
        <v>4300</v>
      </c>
      <c r="C275" s="27" t="s">
        <v>15</v>
      </c>
      <c r="D275" s="22"/>
      <c r="E275" s="15"/>
    </row>
    <row r="276" spans="1:5" ht="12.75">
      <c r="A276" s="31">
        <v>85154</v>
      </c>
      <c r="B276" s="26"/>
      <c r="C276" s="19" t="s">
        <v>87</v>
      </c>
      <c r="D276" s="20">
        <f>SUM(D277:D287)</f>
        <v>18000</v>
      </c>
      <c r="E276" s="15"/>
    </row>
    <row r="277" spans="1:5" ht="38.25">
      <c r="A277" s="31"/>
      <c r="B277" s="27">
        <v>2710</v>
      </c>
      <c r="C277" s="18" t="s">
        <v>22</v>
      </c>
      <c r="D277" s="22"/>
      <c r="E277" s="15"/>
    </row>
    <row r="278" spans="1:5" ht="25.5">
      <c r="A278" s="31"/>
      <c r="B278" s="27">
        <v>2820</v>
      </c>
      <c r="C278" s="18" t="s">
        <v>59</v>
      </c>
      <c r="D278" s="22"/>
      <c r="E278" s="15"/>
    </row>
    <row r="279" spans="1:5" ht="12.75">
      <c r="A279" s="31"/>
      <c r="B279" s="27">
        <v>4110</v>
      </c>
      <c r="C279" s="18" t="s">
        <v>39</v>
      </c>
      <c r="D279" s="22">
        <v>800</v>
      </c>
      <c r="E279" s="15"/>
    </row>
    <row r="280" spans="1:5" ht="12.75">
      <c r="A280" s="31"/>
      <c r="B280" s="27">
        <v>4120</v>
      </c>
      <c r="C280" s="18" t="s">
        <v>40</v>
      </c>
      <c r="D280" s="22">
        <v>200</v>
      </c>
      <c r="E280" s="15"/>
    </row>
    <row r="281" spans="1:5" ht="12.75">
      <c r="A281" s="31"/>
      <c r="B281" s="27">
        <v>4170</v>
      </c>
      <c r="C281" s="18" t="s">
        <v>42</v>
      </c>
      <c r="D281" s="22">
        <v>17000</v>
      </c>
      <c r="E281" s="15"/>
    </row>
    <row r="282" spans="1:5" ht="12.75">
      <c r="A282" s="31"/>
      <c r="B282" s="27">
        <v>4210</v>
      </c>
      <c r="C282" s="18" t="s">
        <v>14</v>
      </c>
      <c r="D282" s="22"/>
      <c r="E282" s="15"/>
    </row>
    <row r="283" spans="1:5" ht="12.75">
      <c r="A283" s="31"/>
      <c r="B283" s="27">
        <v>4260</v>
      </c>
      <c r="C283" s="18" t="s">
        <v>43</v>
      </c>
      <c r="D283" s="22"/>
      <c r="E283" s="15"/>
    </row>
    <row r="284" spans="1:5" ht="12.75">
      <c r="A284" s="31"/>
      <c r="B284" s="27">
        <v>4300</v>
      </c>
      <c r="C284" s="18" t="s">
        <v>15</v>
      </c>
      <c r="D284" s="22"/>
      <c r="E284" s="15"/>
    </row>
    <row r="285" spans="1:5" ht="25.5">
      <c r="A285" s="31"/>
      <c r="B285" s="27">
        <v>4370</v>
      </c>
      <c r="C285" s="18" t="s">
        <v>47</v>
      </c>
      <c r="D285" s="22"/>
      <c r="E285" s="15"/>
    </row>
    <row r="286" spans="1:5" ht="12.75">
      <c r="A286" s="31"/>
      <c r="B286" s="27">
        <v>4410</v>
      </c>
      <c r="C286" s="18" t="s">
        <v>48</v>
      </c>
      <c r="D286" s="22"/>
      <c r="E286" s="15"/>
    </row>
    <row r="287" spans="1:5" ht="26.25" thickBot="1">
      <c r="A287" s="67"/>
      <c r="B287" s="56">
        <v>4740</v>
      </c>
      <c r="C287" s="57" t="s">
        <v>52</v>
      </c>
      <c r="D287" s="58"/>
      <c r="E287" s="15"/>
    </row>
    <row r="288" spans="1:5" ht="13.5" thickBot="1">
      <c r="A288" s="62">
        <v>852</v>
      </c>
      <c r="B288" s="63"/>
      <c r="C288" s="64" t="s">
        <v>88</v>
      </c>
      <c r="D288" s="65">
        <f>SUM(D289,D291,D293,D295,D314)</f>
        <v>595344.5</v>
      </c>
      <c r="E288" s="15"/>
    </row>
    <row r="289" spans="1:5" ht="12.75">
      <c r="A289" s="59">
        <v>85202</v>
      </c>
      <c r="B289" s="60"/>
      <c r="C289" s="61" t="s">
        <v>89</v>
      </c>
      <c r="D289" s="28">
        <f>SUM(D290)</f>
        <v>0</v>
      </c>
      <c r="E289" s="15"/>
    </row>
    <row r="290" spans="1:5" ht="25.5">
      <c r="A290" s="31"/>
      <c r="B290" s="27">
        <v>4330</v>
      </c>
      <c r="C290" s="18" t="s">
        <v>122</v>
      </c>
      <c r="D290" s="22"/>
      <c r="E290" s="77"/>
    </row>
    <row r="291" spans="1:5" ht="25.5">
      <c r="A291" s="31">
        <v>85214</v>
      </c>
      <c r="B291" s="26"/>
      <c r="C291" s="19" t="s">
        <v>90</v>
      </c>
      <c r="D291" s="20">
        <f>SUM(D292:D292)</f>
        <v>0</v>
      </c>
      <c r="E291" s="78"/>
    </row>
    <row r="292" spans="1:5" ht="12.75">
      <c r="A292" s="21"/>
      <c r="B292" s="27">
        <v>3110</v>
      </c>
      <c r="C292" s="18" t="s">
        <v>91</v>
      </c>
      <c r="D292" s="22"/>
      <c r="E292" s="77"/>
    </row>
    <row r="293" spans="1:5" ht="12.75">
      <c r="A293" s="31">
        <v>85215</v>
      </c>
      <c r="B293" s="26"/>
      <c r="C293" s="19" t="s">
        <v>92</v>
      </c>
      <c r="D293" s="20">
        <f>SUM(D294)</f>
        <v>0</v>
      </c>
      <c r="E293" s="77"/>
    </row>
    <row r="294" spans="1:5" ht="12.75">
      <c r="A294" s="21"/>
      <c r="B294" s="27">
        <v>3110</v>
      </c>
      <c r="C294" s="18" t="s">
        <v>91</v>
      </c>
      <c r="D294" s="22"/>
      <c r="E294" s="78"/>
    </row>
    <row r="295" spans="1:5" ht="12.75">
      <c r="A295" s="31">
        <v>85219</v>
      </c>
      <c r="B295" s="26"/>
      <c r="C295" s="19" t="s">
        <v>93</v>
      </c>
      <c r="D295" s="20">
        <f>SUM(D296:D313)</f>
        <v>595344.5</v>
      </c>
      <c r="E295" s="77"/>
    </row>
    <row r="296" spans="1:5" ht="12.75">
      <c r="A296" s="21"/>
      <c r="B296" s="27">
        <v>3020</v>
      </c>
      <c r="C296" s="18" t="s">
        <v>73</v>
      </c>
      <c r="D296" s="22"/>
      <c r="E296" s="78"/>
    </row>
    <row r="297" spans="1:5" ht="12.75">
      <c r="A297" s="21"/>
      <c r="B297" s="27">
        <v>4010</v>
      </c>
      <c r="C297" s="18" t="s">
        <v>37</v>
      </c>
      <c r="D297" s="22">
        <v>450000</v>
      </c>
      <c r="E297" s="77"/>
    </row>
    <row r="298" spans="1:5" ht="12.75">
      <c r="A298" s="21"/>
      <c r="B298" s="27">
        <v>4040</v>
      </c>
      <c r="C298" s="18" t="s">
        <v>38</v>
      </c>
      <c r="D298" s="22">
        <v>30000</v>
      </c>
      <c r="E298" s="77"/>
    </row>
    <row r="299" spans="1:5" ht="12.75">
      <c r="A299" s="21"/>
      <c r="B299" s="27">
        <v>4110</v>
      </c>
      <c r="C299" s="18" t="s">
        <v>39</v>
      </c>
      <c r="D299" s="22">
        <f>(D297+D298+D301)*15.44%</f>
        <v>77971.99999999999</v>
      </c>
      <c r="E299" s="77"/>
    </row>
    <row r="300" spans="1:5" ht="12.75">
      <c r="A300" s="21"/>
      <c r="B300" s="27">
        <v>4120</v>
      </c>
      <c r="C300" s="18" t="s">
        <v>40</v>
      </c>
      <c r="D300" s="22">
        <f>(D297+D298+D301)*2.45%</f>
        <v>12372.5</v>
      </c>
      <c r="E300" s="77"/>
    </row>
    <row r="301" spans="1:5" ht="12.75">
      <c r="A301" s="21"/>
      <c r="B301" s="27">
        <v>4170</v>
      </c>
      <c r="C301" s="18" t="s">
        <v>42</v>
      </c>
      <c r="D301" s="22">
        <v>25000</v>
      </c>
      <c r="E301" s="77"/>
    </row>
    <row r="302" spans="1:5" ht="12.75">
      <c r="A302" s="21"/>
      <c r="B302" s="27">
        <v>4210</v>
      </c>
      <c r="C302" s="18" t="s">
        <v>14</v>
      </c>
      <c r="D302" s="22"/>
      <c r="E302" s="78"/>
    </row>
    <row r="303" spans="1:5" ht="12.75">
      <c r="A303" s="21"/>
      <c r="B303" s="27">
        <v>4260</v>
      </c>
      <c r="C303" s="18" t="s">
        <v>43</v>
      </c>
      <c r="D303" s="22"/>
      <c r="E303" s="77"/>
    </row>
    <row r="304" spans="1:5" ht="12.75">
      <c r="A304" s="21"/>
      <c r="B304" s="27">
        <v>4270</v>
      </c>
      <c r="C304" s="18" t="s">
        <v>24</v>
      </c>
      <c r="D304" s="22"/>
      <c r="E304" s="77"/>
    </row>
    <row r="305" spans="1:5" ht="12.75">
      <c r="A305" s="21"/>
      <c r="B305" s="27">
        <v>4280</v>
      </c>
      <c r="C305" s="18" t="s">
        <v>44</v>
      </c>
      <c r="D305" s="22"/>
      <c r="E305" s="77"/>
    </row>
    <row r="306" spans="1:5" ht="12.75">
      <c r="A306" s="21"/>
      <c r="B306" s="27">
        <v>4300</v>
      </c>
      <c r="C306" s="18" t="s">
        <v>15</v>
      </c>
      <c r="D306" s="22"/>
      <c r="E306" s="77"/>
    </row>
    <row r="307" spans="1:5" ht="12.75">
      <c r="A307" s="21"/>
      <c r="B307" s="27">
        <v>4350</v>
      </c>
      <c r="C307" s="18" t="s">
        <v>45</v>
      </c>
      <c r="D307" s="22"/>
      <c r="E307" s="77"/>
    </row>
    <row r="308" spans="1:5" ht="25.5">
      <c r="A308" s="21"/>
      <c r="B308" s="27">
        <v>4370</v>
      </c>
      <c r="C308" s="18" t="s">
        <v>47</v>
      </c>
      <c r="D308" s="22"/>
      <c r="E308" s="15"/>
    </row>
    <row r="309" spans="1:5" ht="12.75">
      <c r="A309" s="21"/>
      <c r="B309" s="27">
        <v>4410</v>
      </c>
      <c r="C309" s="18" t="s">
        <v>48</v>
      </c>
      <c r="D309" s="22"/>
      <c r="E309" s="15"/>
    </row>
    <row r="310" spans="1:5" ht="12.75">
      <c r="A310" s="21"/>
      <c r="B310" s="27">
        <v>4440</v>
      </c>
      <c r="C310" s="18" t="s">
        <v>50</v>
      </c>
      <c r="D310" s="22"/>
      <c r="E310" s="15"/>
    </row>
    <row r="311" spans="1:5" ht="25.5">
      <c r="A311" s="21"/>
      <c r="B311" s="27">
        <v>4700</v>
      </c>
      <c r="C311" s="18" t="s">
        <v>51</v>
      </c>
      <c r="D311" s="22"/>
      <c r="E311" s="15"/>
    </row>
    <row r="312" spans="1:5" ht="25.5">
      <c r="A312" s="21"/>
      <c r="B312" s="27">
        <v>4740</v>
      </c>
      <c r="C312" s="18" t="s">
        <v>52</v>
      </c>
      <c r="D312" s="22"/>
      <c r="E312" s="15"/>
    </row>
    <row r="313" spans="1:5" ht="12.75">
      <c r="A313" s="21"/>
      <c r="B313" s="27">
        <v>4750</v>
      </c>
      <c r="C313" s="18" t="s">
        <v>53</v>
      </c>
      <c r="D313" s="22"/>
      <c r="E313" s="15"/>
    </row>
    <row r="314" spans="1:5" ht="12.75">
      <c r="A314" s="31">
        <v>85295</v>
      </c>
      <c r="B314" s="26"/>
      <c r="C314" s="19" t="s">
        <v>13</v>
      </c>
      <c r="D314" s="20">
        <f>SUM(D315:D316)</f>
        <v>0</v>
      </c>
      <c r="E314" s="15"/>
    </row>
    <row r="315" spans="1:5" ht="22.5">
      <c r="A315" s="52"/>
      <c r="B315" s="27">
        <v>2820</v>
      </c>
      <c r="C315" s="44" t="s">
        <v>59</v>
      </c>
      <c r="D315" s="22"/>
      <c r="E315" s="76"/>
    </row>
    <row r="316" spans="1:5" ht="13.5" thickBot="1">
      <c r="A316" s="66"/>
      <c r="B316" s="56">
        <v>3110</v>
      </c>
      <c r="C316" s="57" t="s">
        <v>91</v>
      </c>
      <c r="D316" s="58"/>
      <c r="E316" s="15"/>
    </row>
    <row r="317" spans="1:5" ht="13.5" thickBot="1">
      <c r="A317" s="62">
        <v>854</v>
      </c>
      <c r="B317" s="63"/>
      <c r="C317" s="64" t="s">
        <v>94</v>
      </c>
      <c r="D317" s="65">
        <f>SUM(D318)</f>
        <v>162053</v>
      </c>
      <c r="E317" s="15"/>
    </row>
    <row r="318" spans="1:5" ht="12.75">
      <c r="A318" s="59">
        <v>85401</v>
      </c>
      <c r="B318" s="60"/>
      <c r="C318" s="61" t="s">
        <v>95</v>
      </c>
      <c r="D318" s="28">
        <f>SUM(D319:D333)</f>
        <v>162053</v>
      </c>
      <c r="E318" s="15"/>
    </row>
    <row r="319" spans="1:5" ht="12.75">
      <c r="A319" s="21"/>
      <c r="B319" s="27">
        <v>3020</v>
      </c>
      <c r="C319" s="18" t="s">
        <v>73</v>
      </c>
      <c r="D319" s="22"/>
      <c r="E319" s="15"/>
    </row>
    <row r="320" spans="1:5" ht="12.75">
      <c r="A320" s="21"/>
      <c r="B320" s="27">
        <v>4010</v>
      </c>
      <c r="C320" s="18" t="s">
        <v>37</v>
      </c>
      <c r="D320" s="22">
        <v>127066</v>
      </c>
      <c r="E320" s="15"/>
    </row>
    <row r="321" spans="1:5" ht="12.75">
      <c r="A321" s="21"/>
      <c r="B321" s="27">
        <v>4040</v>
      </c>
      <c r="C321" s="18" t="s">
        <v>38</v>
      </c>
      <c r="D321" s="22">
        <v>6480</v>
      </c>
      <c r="E321" s="15"/>
    </row>
    <row r="322" spans="1:5" ht="12.75">
      <c r="A322" s="21"/>
      <c r="B322" s="27">
        <v>4110</v>
      </c>
      <c r="C322" s="18" t="s">
        <v>39</v>
      </c>
      <c r="D322" s="22">
        <v>21970</v>
      </c>
      <c r="E322" s="15"/>
    </row>
    <row r="323" spans="1:5" ht="12.75">
      <c r="A323" s="21"/>
      <c r="B323" s="27">
        <v>4120</v>
      </c>
      <c r="C323" s="18" t="s">
        <v>40</v>
      </c>
      <c r="D323" s="22">
        <v>3537</v>
      </c>
      <c r="E323" s="15"/>
    </row>
    <row r="324" spans="1:5" ht="12.75">
      <c r="A324" s="21"/>
      <c r="B324" s="27">
        <v>4170</v>
      </c>
      <c r="C324" s="18" t="s">
        <v>42</v>
      </c>
      <c r="D324" s="22">
        <v>3000</v>
      </c>
      <c r="E324" s="15"/>
    </row>
    <row r="325" spans="1:5" ht="12.75">
      <c r="A325" s="21"/>
      <c r="B325" s="27">
        <v>4210</v>
      </c>
      <c r="C325" s="18" t="s">
        <v>14</v>
      </c>
      <c r="D325" s="22"/>
      <c r="E325" s="15"/>
    </row>
    <row r="326" spans="1:5" ht="12.75">
      <c r="A326" s="21"/>
      <c r="B326" s="27">
        <v>4240</v>
      </c>
      <c r="C326" s="18" t="s">
        <v>76</v>
      </c>
      <c r="D326" s="22"/>
      <c r="E326" s="15"/>
    </row>
    <row r="327" spans="1:5" ht="12.75">
      <c r="A327" s="21"/>
      <c r="B327" s="27">
        <v>4270</v>
      </c>
      <c r="C327" s="18" t="s">
        <v>24</v>
      </c>
      <c r="D327" s="22"/>
      <c r="E327" s="15"/>
    </row>
    <row r="328" spans="1:5" ht="12.75">
      <c r="A328" s="21"/>
      <c r="B328" s="27">
        <v>4280</v>
      </c>
      <c r="C328" s="18" t="s">
        <v>44</v>
      </c>
      <c r="D328" s="22"/>
      <c r="E328" s="15"/>
    </row>
    <row r="329" spans="1:5" ht="12.75">
      <c r="A329" s="21"/>
      <c r="B329" s="27">
        <v>4300</v>
      </c>
      <c r="C329" s="18" t="s">
        <v>15</v>
      </c>
      <c r="D329" s="22"/>
      <c r="E329" s="15"/>
    </row>
    <row r="330" spans="1:5" ht="12.75">
      <c r="A330" s="21"/>
      <c r="B330" s="27">
        <v>4410</v>
      </c>
      <c r="C330" s="18" t="s">
        <v>48</v>
      </c>
      <c r="D330" s="22"/>
      <c r="E330" s="15"/>
    </row>
    <row r="331" spans="1:5" ht="12.75">
      <c r="A331" s="21"/>
      <c r="B331" s="27">
        <v>4440</v>
      </c>
      <c r="C331" s="18" t="s">
        <v>50</v>
      </c>
      <c r="D331" s="22"/>
      <c r="E331" s="15"/>
    </row>
    <row r="332" spans="1:5" ht="25.5">
      <c r="A332" s="21"/>
      <c r="B332" s="27">
        <v>4740</v>
      </c>
      <c r="C332" s="18" t="s">
        <v>52</v>
      </c>
      <c r="D332" s="22"/>
      <c r="E332" s="15"/>
    </row>
    <row r="333" spans="1:5" ht="13.5" thickBot="1">
      <c r="A333" s="66"/>
      <c r="B333" s="56">
        <v>6060</v>
      </c>
      <c r="C333" s="57" t="s">
        <v>61</v>
      </c>
      <c r="D333" s="58"/>
      <c r="E333" s="15"/>
    </row>
    <row r="334" spans="1:5" ht="13.5" thickBot="1">
      <c r="A334" s="62">
        <v>900</v>
      </c>
      <c r="B334" s="63"/>
      <c r="C334" s="64" t="s">
        <v>96</v>
      </c>
      <c r="D334" s="65">
        <f>SUM(D335,D337,D340,D342,D344,D349,D351)</f>
        <v>0</v>
      </c>
      <c r="E334" s="15"/>
    </row>
    <row r="335" spans="1:5" ht="12.75">
      <c r="A335" s="59">
        <v>90001</v>
      </c>
      <c r="B335" s="60"/>
      <c r="C335" s="61" t="s">
        <v>125</v>
      </c>
      <c r="D335" s="28">
        <f>D336</f>
        <v>0</v>
      </c>
      <c r="E335" s="15"/>
    </row>
    <row r="336" spans="1:5" ht="12.75">
      <c r="A336" s="31"/>
      <c r="B336" s="27">
        <v>4260</v>
      </c>
      <c r="C336" s="18" t="s">
        <v>43</v>
      </c>
      <c r="D336" s="22"/>
      <c r="E336" s="15"/>
    </row>
    <row r="337" spans="1:5" ht="12.75">
      <c r="A337" s="31">
        <v>90002</v>
      </c>
      <c r="B337" s="26"/>
      <c r="C337" s="19" t="s">
        <v>97</v>
      </c>
      <c r="D337" s="20">
        <f>SUM(D338:D339)</f>
        <v>0</v>
      </c>
      <c r="E337" s="15"/>
    </row>
    <row r="338" spans="1:5" ht="12.75">
      <c r="A338" s="31"/>
      <c r="B338" s="27">
        <v>4300</v>
      </c>
      <c r="C338" s="18" t="s">
        <v>15</v>
      </c>
      <c r="D338" s="22"/>
      <c r="E338" s="15"/>
    </row>
    <row r="339" spans="1:5" ht="51">
      <c r="A339" s="21"/>
      <c r="B339" s="27">
        <v>6659</v>
      </c>
      <c r="C339" s="18" t="s">
        <v>8</v>
      </c>
      <c r="D339" s="22"/>
      <c r="E339" s="15"/>
    </row>
    <row r="340" spans="1:5" ht="12.75">
      <c r="A340" s="31">
        <v>90003</v>
      </c>
      <c r="B340" s="26"/>
      <c r="C340" s="19" t="s">
        <v>98</v>
      </c>
      <c r="D340" s="20">
        <f>SUM(D341)</f>
        <v>0</v>
      </c>
      <c r="E340" s="15"/>
    </row>
    <row r="341" spans="1:5" ht="12.75">
      <c r="A341" s="21"/>
      <c r="B341" s="27">
        <v>4300</v>
      </c>
      <c r="C341" s="18" t="s">
        <v>15</v>
      </c>
      <c r="D341" s="22"/>
      <c r="E341" s="15"/>
    </row>
    <row r="342" spans="1:5" ht="12.75">
      <c r="A342" s="31">
        <v>90004</v>
      </c>
      <c r="B342" s="26"/>
      <c r="C342" s="19" t="s">
        <v>99</v>
      </c>
      <c r="D342" s="20">
        <f>SUM(D343:D343)</f>
        <v>0</v>
      </c>
      <c r="E342" s="15"/>
    </row>
    <row r="343" spans="1:5" ht="12.75">
      <c r="A343" s="21"/>
      <c r="B343" s="27">
        <v>4300</v>
      </c>
      <c r="C343" s="18" t="s">
        <v>15</v>
      </c>
      <c r="D343" s="22"/>
      <c r="E343" s="15"/>
    </row>
    <row r="344" spans="1:5" ht="12.75">
      <c r="A344" s="31">
        <v>90015</v>
      </c>
      <c r="B344" s="26"/>
      <c r="C344" s="19" t="s">
        <v>100</v>
      </c>
      <c r="D344" s="20">
        <f>SUM(D345:D347)</f>
        <v>0</v>
      </c>
      <c r="E344" s="15"/>
    </row>
    <row r="345" spans="1:5" ht="12.75">
      <c r="A345" s="21"/>
      <c r="B345" s="27">
        <v>4260</v>
      </c>
      <c r="C345" s="18" t="s">
        <v>43</v>
      </c>
      <c r="D345" s="22"/>
      <c r="E345" s="15"/>
    </row>
    <row r="346" spans="1:5" ht="12.75">
      <c r="A346" s="21"/>
      <c r="B346" s="27">
        <v>4300</v>
      </c>
      <c r="C346" s="18" t="s">
        <v>15</v>
      </c>
      <c r="D346" s="22"/>
      <c r="E346" s="15"/>
    </row>
    <row r="347" spans="1:5" ht="12.75">
      <c r="A347" s="21"/>
      <c r="B347" s="27">
        <v>6050</v>
      </c>
      <c r="C347" s="18" t="s">
        <v>26</v>
      </c>
      <c r="D347" s="22"/>
      <c r="E347" s="15"/>
    </row>
    <row r="348" spans="1:5" ht="12.75">
      <c r="A348" s="21"/>
      <c r="B348" s="27"/>
      <c r="C348" s="18"/>
      <c r="D348" s="22"/>
      <c r="E348" s="15"/>
    </row>
    <row r="349" spans="1:5" ht="12.75">
      <c r="A349" s="31">
        <v>90017</v>
      </c>
      <c r="B349" s="26"/>
      <c r="C349" s="19" t="s">
        <v>101</v>
      </c>
      <c r="D349" s="20">
        <f>SUM(D350:D350)</f>
        <v>0</v>
      </c>
      <c r="E349" s="15"/>
    </row>
    <row r="350" spans="1:5" ht="22.5">
      <c r="A350" s="51"/>
      <c r="B350" s="27">
        <v>6210</v>
      </c>
      <c r="C350" s="44" t="s">
        <v>102</v>
      </c>
      <c r="D350" s="22"/>
      <c r="E350" s="76"/>
    </row>
    <row r="351" spans="1:5" ht="12.75">
      <c r="A351" s="31">
        <v>90095</v>
      </c>
      <c r="B351" s="26"/>
      <c r="C351" s="19" t="s">
        <v>13</v>
      </c>
      <c r="D351" s="20">
        <f>SUM(D352:D356)</f>
        <v>0</v>
      </c>
      <c r="E351" s="15"/>
    </row>
    <row r="352" spans="1:5" ht="33.75">
      <c r="A352" s="51"/>
      <c r="B352" s="27">
        <v>2900</v>
      </c>
      <c r="C352" s="44" t="s">
        <v>103</v>
      </c>
      <c r="D352" s="22"/>
      <c r="E352" s="76"/>
    </row>
    <row r="353" spans="1:5" ht="12.75">
      <c r="A353" s="21"/>
      <c r="B353" s="27">
        <v>4210</v>
      </c>
      <c r="C353" s="18" t="s">
        <v>14</v>
      </c>
      <c r="D353" s="22"/>
      <c r="E353" s="15"/>
    </row>
    <row r="354" spans="1:5" ht="12.75">
      <c r="A354" s="21"/>
      <c r="B354" s="27">
        <v>4260</v>
      </c>
      <c r="C354" s="18" t="s">
        <v>43</v>
      </c>
      <c r="D354" s="22"/>
      <c r="E354" s="15"/>
    </row>
    <row r="355" spans="1:5" ht="12.75">
      <c r="A355" s="21"/>
      <c r="B355" s="27">
        <v>4300</v>
      </c>
      <c r="C355" s="18" t="s">
        <v>15</v>
      </c>
      <c r="D355" s="22"/>
      <c r="E355" s="15"/>
    </row>
    <row r="356" spans="1:5" ht="13.5" thickBot="1">
      <c r="A356" s="66"/>
      <c r="B356" s="56">
        <v>4430</v>
      </c>
      <c r="C356" s="57" t="s">
        <v>16</v>
      </c>
      <c r="D356" s="58"/>
      <c r="E356" s="15"/>
    </row>
    <row r="357" spans="1:5" ht="13.5" thickBot="1">
      <c r="A357" s="62">
        <v>921</v>
      </c>
      <c r="B357" s="63"/>
      <c r="C357" s="64" t="s">
        <v>104</v>
      </c>
      <c r="D357" s="65">
        <f>SUM(D358,D361,D365,D367)</f>
        <v>0</v>
      </c>
      <c r="E357" s="15"/>
    </row>
    <row r="358" spans="1:5" ht="12.75">
      <c r="A358" s="59">
        <v>92109</v>
      </c>
      <c r="B358" s="60"/>
      <c r="C358" s="61" t="s">
        <v>105</v>
      </c>
      <c r="D358" s="28">
        <f>D359+D360</f>
        <v>0</v>
      </c>
      <c r="E358" s="15"/>
    </row>
    <row r="359" spans="1:5" ht="25.5">
      <c r="A359" s="21"/>
      <c r="B359" s="27">
        <v>2480</v>
      </c>
      <c r="C359" s="18" t="s">
        <v>106</v>
      </c>
      <c r="D359" s="22"/>
      <c r="E359" s="15"/>
    </row>
    <row r="360" spans="1:5" ht="12.75">
      <c r="A360" s="21"/>
      <c r="B360" s="27">
        <v>6050</v>
      </c>
      <c r="C360" s="18" t="s">
        <v>26</v>
      </c>
      <c r="D360" s="22"/>
      <c r="E360" s="76"/>
    </row>
    <row r="361" spans="1:5" ht="12.75">
      <c r="A361" s="31">
        <v>92116</v>
      </c>
      <c r="B361" s="26"/>
      <c r="C361" s="19" t="s">
        <v>107</v>
      </c>
      <c r="D361" s="20">
        <f>D362+D363+D364</f>
        <v>0</v>
      </c>
      <c r="E361" s="15"/>
    </row>
    <row r="362" spans="1:5" ht="25.5">
      <c r="A362" s="31"/>
      <c r="B362" s="27">
        <v>2480</v>
      </c>
      <c r="C362" s="18" t="s">
        <v>106</v>
      </c>
      <c r="D362" s="22"/>
      <c r="E362" s="15"/>
    </row>
    <row r="363" spans="1:5" ht="12.75">
      <c r="A363" s="31"/>
      <c r="B363" s="27">
        <v>6058</v>
      </c>
      <c r="C363" s="18" t="s">
        <v>26</v>
      </c>
      <c r="D363" s="22"/>
      <c r="E363" s="15"/>
    </row>
    <row r="364" spans="1:5" ht="12.75">
      <c r="A364" s="31"/>
      <c r="B364" s="27">
        <v>6059</v>
      </c>
      <c r="C364" s="18" t="s">
        <v>26</v>
      </c>
      <c r="D364" s="22"/>
      <c r="E364" s="15"/>
    </row>
    <row r="365" spans="1:5" ht="12.75">
      <c r="A365" s="31">
        <v>92120</v>
      </c>
      <c r="B365" s="26"/>
      <c r="C365" s="26" t="s">
        <v>132</v>
      </c>
      <c r="D365" s="20">
        <f>D366</f>
        <v>0</v>
      </c>
      <c r="E365" s="15"/>
    </row>
    <row r="366" spans="1:5" ht="38.25">
      <c r="A366" s="31"/>
      <c r="B366" s="27">
        <v>4349</v>
      </c>
      <c r="C366" s="18" t="s">
        <v>139</v>
      </c>
      <c r="D366" s="22"/>
      <c r="E366" s="15"/>
    </row>
    <row r="367" spans="1:5" ht="12.75">
      <c r="A367" s="31">
        <v>92195</v>
      </c>
      <c r="B367" s="26"/>
      <c r="C367" s="26" t="s">
        <v>13</v>
      </c>
      <c r="D367" s="20">
        <f>SUM(D368:D373)</f>
        <v>0</v>
      </c>
      <c r="E367" s="15"/>
    </row>
    <row r="368" spans="1:5" ht="12.75">
      <c r="A368" s="21"/>
      <c r="B368" s="27">
        <v>4210</v>
      </c>
      <c r="C368" s="27" t="s">
        <v>14</v>
      </c>
      <c r="D368" s="22"/>
      <c r="E368" s="15"/>
    </row>
    <row r="369" spans="1:5" ht="12.75">
      <c r="A369" s="21"/>
      <c r="B369" s="27">
        <v>4260</v>
      </c>
      <c r="C369" s="18" t="s">
        <v>43</v>
      </c>
      <c r="D369" s="22"/>
      <c r="E369" s="15"/>
    </row>
    <row r="370" spans="1:5" ht="12.75">
      <c r="A370" s="21"/>
      <c r="B370" s="27">
        <v>4270</v>
      </c>
      <c r="C370" s="18" t="s">
        <v>24</v>
      </c>
      <c r="D370" s="22"/>
      <c r="E370" s="15"/>
    </row>
    <row r="371" spans="1:5" ht="12.75">
      <c r="A371" s="21"/>
      <c r="B371" s="27">
        <v>4300</v>
      </c>
      <c r="C371" s="27" t="s">
        <v>15</v>
      </c>
      <c r="D371" s="22"/>
      <c r="E371" s="15"/>
    </row>
    <row r="372" spans="1:5" ht="12.75">
      <c r="A372" s="21"/>
      <c r="B372" s="27">
        <v>6058</v>
      </c>
      <c r="C372" s="18" t="s">
        <v>26</v>
      </c>
      <c r="D372" s="22"/>
      <c r="E372" s="15"/>
    </row>
    <row r="373" spans="1:5" ht="13.5" thickBot="1">
      <c r="A373" s="66"/>
      <c r="B373" s="56">
        <v>6059</v>
      </c>
      <c r="C373" s="57" t="s">
        <v>26</v>
      </c>
      <c r="D373" s="58"/>
      <c r="E373" s="76"/>
    </row>
    <row r="374" spans="1:5" ht="13.5" thickBot="1">
      <c r="A374" s="62">
        <v>926</v>
      </c>
      <c r="B374" s="63"/>
      <c r="C374" s="64" t="s">
        <v>108</v>
      </c>
      <c r="D374" s="65">
        <f>SUM(D375,D379)</f>
        <v>10644</v>
      </c>
      <c r="E374" s="15"/>
    </row>
    <row r="375" spans="1:5" ht="12.75">
      <c r="A375" s="59">
        <v>92601</v>
      </c>
      <c r="B375" s="60"/>
      <c r="C375" s="61" t="s">
        <v>109</v>
      </c>
      <c r="D375" s="28">
        <f>SUM(D376:D378)</f>
        <v>0</v>
      </c>
      <c r="E375" s="15"/>
    </row>
    <row r="376" spans="1:5" ht="12.75">
      <c r="A376" s="31"/>
      <c r="B376" s="27">
        <v>6050</v>
      </c>
      <c r="C376" s="18" t="s">
        <v>26</v>
      </c>
      <c r="D376" s="22"/>
      <c r="E376" s="15"/>
    </row>
    <row r="377" spans="1:5" ht="12.75">
      <c r="A377" s="31"/>
      <c r="B377" s="27">
        <v>6058</v>
      </c>
      <c r="C377" s="18" t="s">
        <v>26</v>
      </c>
      <c r="D377" s="79">
        <v>0</v>
      </c>
      <c r="E377" s="15"/>
    </row>
    <row r="378" spans="1:5" ht="12.75">
      <c r="A378" s="21"/>
      <c r="B378" s="27">
        <v>6059</v>
      </c>
      <c r="C378" s="18" t="s">
        <v>26</v>
      </c>
      <c r="D378" s="79">
        <v>0</v>
      </c>
      <c r="E378" s="15"/>
    </row>
    <row r="379" spans="1:5" ht="12.75">
      <c r="A379" s="31">
        <v>92605</v>
      </c>
      <c r="B379" s="26"/>
      <c r="C379" s="19" t="s">
        <v>110</v>
      </c>
      <c r="D379" s="20">
        <f>SUM(D380:D388)</f>
        <v>10644</v>
      </c>
      <c r="E379" s="15"/>
    </row>
    <row r="380" spans="1:5" ht="25.5">
      <c r="A380" s="31"/>
      <c r="B380" s="27">
        <v>2820</v>
      </c>
      <c r="C380" s="18" t="s">
        <v>111</v>
      </c>
      <c r="D380" s="22"/>
      <c r="E380" s="15"/>
    </row>
    <row r="381" spans="1:5" ht="12.75">
      <c r="A381" s="21"/>
      <c r="B381" s="27">
        <v>4110</v>
      </c>
      <c r="C381" s="18" t="s">
        <v>39</v>
      </c>
      <c r="D381" s="22">
        <v>1628</v>
      </c>
      <c r="E381" s="15"/>
    </row>
    <row r="382" spans="1:5" ht="12.75">
      <c r="A382" s="21"/>
      <c r="B382" s="27">
        <v>4120</v>
      </c>
      <c r="C382" s="18" t="s">
        <v>40</v>
      </c>
      <c r="D382" s="22">
        <v>216</v>
      </c>
      <c r="E382" s="15"/>
    </row>
    <row r="383" spans="1:5" ht="12.75">
      <c r="A383" s="21"/>
      <c r="B383" s="27">
        <v>4170</v>
      </c>
      <c r="C383" s="18" t="s">
        <v>42</v>
      </c>
      <c r="D383" s="22">
        <v>8800</v>
      </c>
      <c r="E383" s="15"/>
    </row>
    <row r="384" spans="1:5" ht="12.75">
      <c r="A384" s="21"/>
      <c r="B384" s="27">
        <v>4210</v>
      </c>
      <c r="C384" s="18" t="s">
        <v>14</v>
      </c>
      <c r="D384" s="22"/>
      <c r="E384" s="15"/>
    </row>
    <row r="385" spans="1:5" ht="12.75">
      <c r="A385" s="21"/>
      <c r="B385" s="27">
        <v>4260</v>
      </c>
      <c r="C385" s="18" t="s">
        <v>43</v>
      </c>
      <c r="D385" s="22"/>
      <c r="E385" s="15"/>
    </row>
    <row r="386" spans="1:5" ht="12.75">
      <c r="A386" s="21"/>
      <c r="B386" s="27">
        <v>4270</v>
      </c>
      <c r="C386" s="18" t="s">
        <v>24</v>
      </c>
      <c r="D386" s="22"/>
      <c r="E386" s="15"/>
    </row>
    <row r="387" spans="1:5" ht="12.75">
      <c r="A387" s="21"/>
      <c r="B387" s="27">
        <v>4300</v>
      </c>
      <c r="C387" s="18" t="s">
        <v>15</v>
      </c>
      <c r="D387" s="22"/>
      <c r="E387" s="15"/>
    </row>
    <row r="388" spans="1:5" ht="26.25" thickBot="1">
      <c r="A388" s="66"/>
      <c r="B388" s="56">
        <v>4370</v>
      </c>
      <c r="C388" s="57" t="s">
        <v>47</v>
      </c>
      <c r="D388" s="58"/>
      <c r="E388" s="15"/>
    </row>
    <row r="389" spans="1:5" ht="13.5" thickBot="1">
      <c r="A389" s="68"/>
      <c r="B389" s="69"/>
      <c r="C389" s="70" t="s">
        <v>112</v>
      </c>
      <c r="D389" s="71">
        <f>SUM(D390,D397,D402)</f>
        <v>227670</v>
      </c>
      <c r="E389" s="15"/>
    </row>
    <row r="390" spans="1:5" ht="13.5" thickBot="1">
      <c r="A390" s="62">
        <v>750</v>
      </c>
      <c r="B390" s="63"/>
      <c r="C390" s="64" t="s">
        <v>32</v>
      </c>
      <c r="D390" s="65">
        <f>SUM(D391)</f>
        <v>81090</v>
      </c>
      <c r="E390" s="15"/>
    </row>
    <row r="391" spans="1:5" ht="12.75">
      <c r="A391" s="59">
        <v>75011</v>
      </c>
      <c r="B391" s="60"/>
      <c r="C391" s="61" t="s">
        <v>113</v>
      </c>
      <c r="D391" s="28">
        <f>SUM(D392:D396)</f>
        <v>81090</v>
      </c>
      <c r="E391" s="15"/>
    </row>
    <row r="392" spans="1:5" ht="12.75">
      <c r="A392" s="21"/>
      <c r="B392" s="27">
        <v>4010</v>
      </c>
      <c r="C392" s="18" t="s">
        <v>37</v>
      </c>
      <c r="D392" s="22">
        <v>60824</v>
      </c>
      <c r="E392" s="15"/>
    </row>
    <row r="393" spans="1:5" ht="12.75">
      <c r="A393" s="21"/>
      <c r="B393" s="27">
        <v>4040</v>
      </c>
      <c r="C393" s="18" t="s">
        <v>38</v>
      </c>
      <c r="D393" s="22">
        <v>8100</v>
      </c>
      <c r="E393" s="15"/>
    </row>
    <row r="394" spans="1:5" ht="12.75">
      <c r="A394" s="21"/>
      <c r="B394" s="27">
        <v>4110</v>
      </c>
      <c r="C394" s="18" t="s">
        <v>39</v>
      </c>
      <c r="D394" s="22">
        <v>10396</v>
      </c>
      <c r="E394" s="15"/>
    </row>
    <row r="395" spans="1:5" ht="12.75">
      <c r="A395" s="21"/>
      <c r="B395" s="27">
        <v>4120</v>
      </c>
      <c r="C395" s="18" t="s">
        <v>40</v>
      </c>
      <c r="D395" s="22">
        <v>1770</v>
      </c>
      <c r="E395" s="15"/>
    </row>
    <row r="396" spans="1:5" ht="13.5" thickBot="1">
      <c r="A396" s="66"/>
      <c r="B396" s="56">
        <v>4440</v>
      </c>
      <c r="C396" s="57" t="s">
        <v>50</v>
      </c>
      <c r="D396" s="58">
        <v>0</v>
      </c>
      <c r="E396" s="15"/>
    </row>
    <row r="397" spans="1:5" ht="26.25" thickBot="1">
      <c r="A397" s="62">
        <v>751</v>
      </c>
      <c r="B397" s="63"/>
      <c r="C397" s="64" t="s">
        <v>114</v>
      </c>
      <c r="D397" s="65">
        <f>SUM(D398)</f>
        <v>1800</v>
      </c>
      <c r="E397" s="15"/>
    </row>
    <row r="398" spans="1:5" ht="25.5">
      <c r="A398" s="59">
        <v>75101</v>
      </c>
      <c r="B398" s="60"/>
      <c r="C398" s="61" t="s">
        <v>115</v>
      </c>
      <c r="D398" s="28">
        <f>SUM(D399:D401)</f>
        <v>1800</v>
      </c>
      <c r="E398" s="15"/>
    </row>
    <row r="399" spans="1:5" ht="12.75">
      <c r="A399" s="31"/>
      <c r="B399" s="27">
        <v>4010</v>
      </c>
      <c r="C399" s="27" t="s">
        <v>37</v>
      </c>
      <c r="D399" s="22">
        <v>1506</v>
      </c>
      <c r="E399" s="15"/>
    </row>
    <row r="400" spans="1:5" ht="12.75">
      <c r="A400" s="21"/>
      <c r="B400" s="27">
        <v>4110</v>
      </c>
      <c r="C400" s="18" t="s">
        <v>39</v>
      </c>
      <c r="D400" s="22">
        <v>257</v>
      </c>
      <c r="E400" s="15"/>
    </row>
    <row r="401" spans="1:5" ht="13.5" thickBot="1">
      <c r="A401" s="66"/>
      <c r="B401" s="56">
        <v>4120</v>
      </c>
      <c r="C401" s="57" t="s">
        <v>40</v>
      </c>
      <c r="D401" s="58">
        <v>37</v>
      </c>
      <c r="E401" s="15"/>
    </row>
    <row r="402" spans="1:5" ht="13.5" thickBot="1">
      <c r="A402" s="62">
        <v>852</v>
      </c>
      <c r="B402" s="63"/>
      <c r="C402" s="64" t="s">
        <v>88</v>
      </c>
      <c r="D402" s="65">
        <f>SUM(D403,D413,D415)</f>
        <v>144780</v>
      </c>
      <c r="E402" s="15"/>
    </row>
    <row r="403" spans="1:5" ht="25.5">
      <c r="A403" s="59">
        <v>85212</v>
      </c>
      <c r="B403" s="60"/>
      <c r="C403" s="61" t="s">
        <v>116</v>
      </c>
      <c r="D403" s="72">
        <f>SUM(D404:D412)</f>
        <v>110280</v>
      </c>
      <c r="E403" s="15"/>
    </row>
    <row r="404" spans="1:5" ht="12.75">
      <c r="A404" s="21"/>
      <c r="B404" s="27">
        <v>3110</v>
      </c>
      <c r="C404" s="18" t="s">
        <v>91</v>
      </c>
      <c r="D404" s="22">
        <v>0</v>
      </c>
      <c r="E404" s="15"/>
    </row>
    <row r="405" spans="1:5" ht="12.75">
      <c r="A405" s="21"/>
      <c r="B405" s="27">
        <v>4010</v>
      </c>
      <c r="C405" s="18" t="s">
        <v>37</v>
      </c>
      <c r="D405" s="22">
        <v>70649</v>
      </c>
      <c r="E405" s="15"/>
    </row>
    <row r="406" spans="1:5" ht="12.75">
      <c r="A406" s="21"/>
      <c r="B406" s="27">
        <v>4040</v>
      </c>
      <c r="C406" s="18" t="s">
        <v>38</v>
      </c>
      <c r="D406" s="22">
        <v>5217</v>
      </c>
      <c r="E406" s="15"/>
    </row>
    <row r="407" spans="1:7" ht="12.75">
      <c r="A407" s="21"/>
      <c r="B407" s="27">
        <v>4110</v>
      </c>
      <c r="C407" s="18" t="s">
        <v>39</v>
      </c>
      <c r="D407" s="22">
        <v>32554</v>
      </c>
      <c r="E407" s="15"/>
      <c r="G407" s="15"/>
    </row>
    <row r="408" spans="1:7" ht="12.75">
      <c r="A408" s="21"/>
      <c r="B408" s="27">
        <v>4120</v>
      </c>
      <c r="C408" s="18" t="s">
        <v>40</v>
      </c>
      <c r="D408" s="22">
        <v>1860</v>
      </c>
      <c r="E408" s="15"/>
      <c r="G408" s="15"/>
    </row>
    <row r="409" spans="1:7" ht="12.75">
      <c r="A409" s="21"/>
      <c r="B409" s="27">
        <v>4210</v>
      </c>
      <c r="C409" s="18" t="s">
        <v>14</v>
      </c>
      <c r="D409" s="22"/>
      <c r="E409" s="15"/>
      <c r="G409" s="15"/>
    </row>
    <row r="410" spans="1:5" ht="12.75">
      <c r="A410" s="21"/>
      <c r="B410" s="27">
        <v>4300</v>
      </c>
      <c r="C410" s="18" t="s">
        <v>15</v>
      </c>
      <c r="D410" s="22"/>
      <c r="E410" s="15"/>
    </row>
    <row r="411" spans="1:5" ht="12.75">
      <c r="A411" s="21"/>
      <c r="B411" s="27">
        <v>4410</v>
      </c>
      <c r="C411" s="18" t="s">
        <v>48</v>
      </c>
      <c r="D411" s="22"/>
      <c r="E411" s="15"/>
    </row>
    <row r="412" spans="1:7" ht="12.75">
      <c r="A412" s="21"/>
      <c r="B412" s="27">
        <v>4440</v>
      </c>
      <c r="C412" s="18" t="s">
        <v>50</v>
      </c>
      <c r="D412" s="22"/>
      <c r="E412" s="15"/>
      <c r="G412" s="15"/>
    </row>
    <row r="413" spans="1:7" ht="38.25">
      <c r="A413" s="31">
        <v>85213</v>
      </c>
      <c r="B413" s="26"/>
      <c r="C413" s="19" t="s">
        <v>117</v>
      </c>
      <c r="D413" s="20">
        <f>SUM(D414)</f>
        <v>34500</v>
      </c>
      <c r="E413" s="15"/>
      <c r="G413" s="15"/>
    </row>
    <row r="414" spans="1:7" ht="12.75">
      <c r="A414" s="21"/>
      <c r="B414" s="27">
        <v>4130</v>
      </c>
      <c r="C414" s="18" t="s">
        <v>118</v>
      </c>
      <c r="D414" s="22">
        <v>34500</v>
      </c>
      <c r="E414" s="15"/>
      <c r="G414" s="15"/>
    </row>
    <row r="415" spans="1:7" ht="25.5">
      <c r="A415" s="31">
        <v>85214</v>
      </c>
      <c r="B415" s="26"/>
      <c r="C415" s="19" t="s">
        <v>119</v>
      </c>
      <c r="D415" s="20">
        <f>SUM(D416:D416)</f>
        <v>0</v>
      </c>
      <c r="E415" s="15"/>
      <c r="G415" s="15"/>
    </row>
    <row r="416" spans="1:7" ht="13.5" thickBot="1">
      <c r="A416" s="53"/>
      <c r="B416" s="54">
        <v>3110</v>
      </c>
      <c r="C416" s="23" t="s">
        <v>91</v>
      </c>
      <c r="D416" s="24">
        <v>0</v>
      </c>
      <c r="E416" s="15"/>
      <c r="G416" s="15"/>
    </row>
    <row r="417" spans="1:7" ht="13.5" thickBot="1">
      <c r="A417" s="291" t="s">
        <v>120</v>
      </c>
      <c r="B417" s="292"/>
      <c r="C417" s="293"/>
      <c r="D417" s="73">
        <f>SUM(D389,D5)</f>
        <v>11292594.808</v>
      </c>
      <c r="E417" s="15"/>
      <c r="G417" s="15"/>
    </row>
    <row r="418" ht="12.75">
      <c r="G418" s="15"/>
    </row>
    <row r="419" ht="12.75">
      <c r="G419" s="15"/>
    </row>
    <row r="420" ht="12.75">
      <c r="G420" s="15"/>
    </row>
    <row r="421" ht="12.75">
      <c r="I421" s="15"/>
    </row>
  </sheetData>
  <sheetProtection/>
  <mergeCells count="1">
    <mergeCell ref="A417:C4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7"/>
  <sheetViews>
    <sheetView tabSelected="1" zoomScalePageLayoutView="0" workbookViewId="0" topLeftCell="A1">
      <selection activeCell="E420" sqref="E420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3" width="41.75390625" style="0" customWidth="1"/>
    <col min="4" max="4" width="14.00390625" style="0" customWidth="1"/>
  </cols>
  <sheetData>
    <row r="1" spans="1:4" ht="12.75">
      <c r="A1" s="4"/>
      <c r="B1" s="4"/>
      <c r="C1" s="290" t="s">
        <v>124</v>
      </c>
      <c r="D1" s="290"/>
    </row>
    <row r="2" spans="1:4" ht="12.75">
      <c r="A2" s="4"/>
      <c r="B2" s="4"/>
      <c r="C2" s="30"/>
      <c r="D2" s="30"/>
    </row>
    <row r="3" spans="1:4" ht="12.75">
      <c r="A3" s="4"/>
      <c r="B3" s="4"/>
      <c r="C3" s="25"/>
      <c r="D3" s="5"/>
    </row>
    <row r="4" spans="1:4" ht="12.75">
      <c r="A4" s="6" t="s">
        <v>123</v>
      </c>
      <c r="B4" s="7"/>
      <c r="C4" s="8"/>
      <c r="D4" s="8"/>
    </row>
    <row r="5" spans="1:4" ht="13.5" thickBot="1">
      <c r="A5" s="6"/>
      <c r="B5" s="7"/>
      <c r="C5" s="8"/>
      <c r="D5" s="8"/>
    </row>
    <row r="6" spans="1:5" ht="26.25" thickBot="1">
      <c r="A6" s="32" t="s">
        <v>0</v>
      </c>
      <c r="B6" s="33" t="s">
        <v>1</v>
      </c>
      <c r="C6" s="34" t="s">
        <v>2</v>
      </c>
      <c r="D6" s="37" t="s">
        <v>121</v>
      </c>
      <c r="E6" s="15"/>
    </row>
    <row r="7" spans="1:5" ht="13.5" thickBot="1">
      <c r="A7" s="35">
        <v>1</v>
      </c>
      <c r="B7" s="9">
        <v>2</v>
      </c>
      <c r="C7" s="9">
        <v>3</v>
      </c>
      <c r="D7" s="38">
        <v>4</v>
      </c>
      <c r="E7" s="75"/>
    </row>
    <row r="8" spans="1:5" ht="13.5" thickBot="1">
      <c r="A8" s="36"/>
      <c r="B8" s="11"/>
      <c r="C8" s="12" t="s">
        <v>3</v>
      </c>
      <c r="D8" s="39">
        <f>SUM(D9,D21,D24,D39,D46,D53,D99,D119,D126,D131,D134,D275,D291,D320,D337,D360,D377)</f>
        <v>852013</v>
      </c>
      <c r="E8" s="15"/>
    </row>
    <row r="9" spans="1:5" ht="13.5" thickBot="1">
      <c r="A9" s="40" t="s">
        <v>4</v>
      </c>
      <c r="B9" s="41"/>
      <c r="C9" s="42" t="s">
        <v>5</v>
      </c>
      <c r="D9" s="43">
        <f>SUM(D10,D15,D17)</f>
        <v>0</v>
      </c>
      <c r="E9" s="15"/>
    </row>
    <row r="10" spans="1:5" ht="12.75">
      <c r="A10" s="45" t="s">
        <v>6</v>
      </c>
      <c r="B10" s="46"/>
      <c r="C10" s="47" t="s">
        <v>7</v>
      </c>
      <c r="D10" s="48">
        <f>SUM(D11:D14)</f>
        <v>0</v>
      </c>
      <c r="E10" s="15"/>
    </row>
    <row r="11" spans="1:5" ht="12.75">
      <c r="A11" s="49"/>
      <c r="B11" s="27">
        <v>4300</v>
      </c>
      <c r="C11" s="18" t="s">
        <v>15</v>
      </c>
      <c r="D11" s="22"/>
      <c r="E11" s="15"/>
    </row>
    <row r="12" spans="1:5" ht="12.75">
      <c r="A12" s="49"/>
      <c r="B12" s="27">
        <v>6058</v>
      </c>
      <c r="C12" s="18" t="s">
        <v>26</v>
      </c>
      <c r="D12" s="22"/>
      <c r="E12" s="15"/>
    </row>
    <row r="13" spans="1:5" ht="12.75">
      <c r="A13" s="49"/>
      <c r="B13" s="27">
        <v>6059</v>
      </c>
      <c r="C13" s="18" t="s">
        <v>26</v>
      </c>
      <c r="D13" s="22"/>
      <c r="E13" s="15"/>
    </row>
    <row r="14" spans="1:5" ht="45">
      <c r="A14" s="50"/>
      <c r="B14" s="27">
        <v>6659</v>
      </c>
      <c r="C14" s="44" t="s">
        <v>8</v>
      </c>
      <c r="D14" s="22"/>
      <c r="E14" s="15"/>
    </row>
    <row r="15" spans="1:5" ht="12.75">
      <c r="A15" s="49" t="s">
        <v>9</v>
      </c>
      <c r="B15" s="26"/>
      <c r="C15" s="19" t="s">
        <v>10</v>
      </c>
      <c r="D15" s="20">
        <f>SUM(D16)</f>
        <v>0</v>
      </c>
      <c r="E15" s="15"/>
    </row>
    <row r="16" spans="1:5" ht="38.25">
      <c r="A16" s="50"/>
      <c r="B16" s="27">
        <v>2850</v>
      </c>
      <c r="C16" s="18" t="s">
        <v>11</v>
      </c>
      <c r="D16" s="22">
        <v>0</v>
      </c>
      <c r="E16" s="15"/>
    </row>
    <row r="17" spans="1:5" ht="12.75">
      <c r="A17" s="49" t="s">
        <v>12</v>
      </c>
      <c r="B17" s="26"/>
      <c r="C17" s="19" t="s">
        <v>13</v>
      </c>
      <c r="D17" s="20">
        <f>SUM(D18:D20)</f>
        <v>0</v>
      </c>
      <c r="E17" s="15"/>
    </row>
    <row r="18" spans="1:5" ht="12.75">
      <c r="A18" s="50"/>
      <c r="B18" s="27">
        <v>4210</v>
      </c>
      <c r="C18" s="18" t="s">
        <v>14</v>
      </c>
      <c r="D18" s="22"/>
      <c r="E18" s="15"/>
    </row>
    <row r="19" spans="1:5" ht="12.75">
      <c r="A19" s="50"/>
      <c r="B19" s="27">
        <v>4300</v>
      </c>
      <c r="C19" s="18" t="s">
        <v>15</v>
      </c>
      <c r="D19" s="22"/>
      <c r="E19" s="15"/>
    </row>
    <row r="20" spans="1:5" ht="13.5" thickBot="1">
      <c r="A20" s="55"/>
      <c r="B20" s="56">
        <v>4430</v>
      </c>
      <c r="C20" s="57" t="s">
        <v>16</v>
      </c>
      <c r="D20" s="58"/>
      <c r="E20" s="15"/>
    </row>
    <row r="21" spans="1:5" ht="13.5" thickBot="1">
      <c r="A21" s="62">
        <v>500</v>
      </c>
      <c r="B21" s="63"/>
      <c r="C21" s="64" t="s">
        <v>17</v>
      </c>
      <c r="D21" s="65">
        <f>SUM(D22)</f>
        <v>0</v>
      </c>
      <c r="E21" s="15"/>
    </row>
    <row r="22" spans="1:5" ht="12.75">
      <c r="A22" s="59">
        <v>50095</v>
      </c>
      <c r="B22" s="60"/>
      <c r="C22" s="61" t="s">
        <v>13</v>
      </c>
      <c r="D22" s="28">
        <f>SUM(D23:D23)</f>
        <v>0</v>
      </c>
      <c r="E22" s="15"/>
    </row>
    <row r="23" spans="1:5" ht="13.5" thickBot="1">
      <c r="A23" s="66"/>
      <c r="B23" s="56">
        <v>4300</v>
      </c>
      <c r="C23" s="57" t="s">
        <v>15</v>
      </c>
      <c r="D23" s="58"/>
      <c r="E23" s="15"/>
    </row>
    <row r="24" spans="1:5" ht="13.5" thickBot="1">
      <c r="A24" s="62">
        <v>600</v>
      </c>
      <c r="B24" s="63"/>
      <c r="C24" s="64" t="s">
        <v>18</v>
      </c>
      <c r="D24" s="65">
        <f>SUM(D25,D29,D27,D31)</f>
        <v>192387</v>
      </c>
      <c r="E24" s="15"/>
    </row>
    <row r="25" spans="1:5" ht="12.75">
      <c r="A25" s="59">
        <v>60004</v>
      </c>
      <c r="B25" s="60"/>
      <c r="C25" s="61" t="s">
        <v>19</v>
      </c>
      <c r="D25" s="28">
        <f>SUM(D26)</f>
        <v>42387</v>
      </c>
      <c r="E25" s="15"/>
    </row>
    <row r="26" spans="1:5" ht="45">
      <c r="A26" s="21"/>
      <c r="B26" s="27">
        <v>2310</v>
      </c>
      <c r="C26" s="44" t="s">
        <v>20</v>
      </c>
      <c r="D26" s="22">
        <v>42387</v>
      </c>
      <c r="E26" s="15"/>
    </row>
    <row r="27" spans="1:5" ht="12.75">
      <c r="A27" s="31">
        <v>60013</v>
      </c>
      <c r="B27" s="26"/>
      <c r="C27" s="19" t="s">
        <v>134</v>
      </c>
      <c r="D27" s="20">
        <f>SUM(D28:D28)</f>
        <v>50000</v>
      </c>
      <c r="E27" s="15"/>
    </row>
    <row r="28" spans="1:5" ht="33.75">
      <c r="A28" s="51"/>
      <c r="B28" s="27">
        <v>2710</v>
      </c>
      <c r="C28" s="44" t="s">
        <v>22</v>
      </c>
      <c r="D28" s="22">
        <v>50000</v>
      </c>
      <c r="E28" s="15"/>
    </row>
    <row r="29" spans="1:5" ht="12.75">
      <c r="A29" s="31">
        <v>60014</v>
      </c>
      <c r="B29" s="26"/>
      <c r="C29" s="19" t="s">
        <v>21</v>
      </c>
      <c r="D29" s="20">
        <f>SUM(D30:D30)</f>
        <v>100000</v>
      </c>
      <c r="E29" s="15"/>
    </row>
    <row r="30" spans="1:5" ht="33.75">
      <c r="A30" s="51"/>
      <c r="B30" s="27">
        <v>2710</v>
      </c>
      <c r="C30" s="44" t="s">
        <v>22</v>
      </c>
      <c r="D30" s="22">
        <v>100000</v>
      </c>
      <c r="E30" s="76"/>
    </row>
    <row r="31" spans="1:5" ht="12.75">
      <c r="A31" s="31">
        <v>60016</v>
      </c>
      <c r="B31" s="26"/>
      <c r="C31" s="19" t="s">
        <v>23</v>
      </c>
      <c r="D31" s="20">
        <f>SUM(D32:D38)</f>
        <v>0</v>
      </c>
      <c r="E31" s="15"/>
    </row>
    <row r="32" spans="1:5" ht="12.75">
      <c r="A32" s="21"/>
      <c r="B32" s="27">
        <v>4270</v>
      </c>
      <c r="C32" s="18" t="s">
        <v>24</v>
      </c>
      <c r="D32" s="22"/>
      <c r="E32" s="15"/>
    </row>
    <row r="33" spans="1:5" ht="12.75">
      <c r="A33" s="21"/>
      <c r="B33" s="27">
        <v>4300</v>
      </c>
      <c r="C33" s="18" t="s">
        <v>15</v>
      </c>
      <c r="D33" s="22"/>
      <c r="E33" s="15"/>
    </row>
    <row r="34" spans="1:5" ht="12.75">
      <c r="A34" s="21"/>
      <c r="B34" s="27">
        <v>4430</v>
      </c>
      <c r="C34" s="18" t="s">
        <v>16</v>
      </c>
      <c r="D34" s="22"/>
      <c r="E34" s="15"/>
    </row>
    <row r="35" spans="1:5" ht="25.5">
      <c r="A35" s="21"/>
      <c r="B35" s="27">
        <v>4590</v>
      </c>
      <c r="C35" s="18" t="s">
        <v>25</v>
      </c>
      <c r="D35" s="22"/>
      <c r="E35" s="15"/>
    </row>
    <row r="36" spans="1:5" ht="12.75">
      <c r="A36" s="21"/>
      <c r="B36" s="27">
        <v>6050</v>
      </c>
      <c r="C36" s="18" t="s">
        <v>26</v>
      </c>
      <c r="D36" s="22"/>
      <c r="E36" s="15"/>
    </row>
    <row r="37" spans="1:5" ht="12.75">
      <c r="A37" s="21"/>
      <c r="B37" s="27">
        <v>6058</v>
      </c>
      <c r="C37" s="18" t="s">
        <v>26</v>
      </c>
      <c r="D37" s="22"/>
      <c r="E37" s="15"/>
    </row>
    <row r="38" spans="1:5" ht="13.5" thickBot="1">
      <c r="A38" s="66"/>
      <c r="B38" s="56">
        <v>6059</v>
      </c>
      <c r="C38" s="57" t="s">
        <v>26</v>
      </c>
      <c r="D38" s="58"/>
      <c r="E38" s="15"/>
    </row>
    <row r="39" spans="1:5" ht="13.5" thickBot="1">
      <c r="A39" s="62">
        <v>700</v>
      </c>
      <c r="B39" s="63"/>
      <c r="C39" s="64" t="s">
        <v>27</v>
      </c>
      <c r="D39" s="65">
        <f>SUM(D40,D44)</f>
        <v>0</v>
      </c>
      <c r="E39" s="15"/>
    </row>
    <row r="40" spans="1:5" ht="12.75">
      <c r="A40" s="59">
        <v>70005</v>
      </c>
      <c r="B40" s="60"/>
      <c r="C40" s="61" t="s">
        <v>28</v>
      </c>
      <c r="D40" s="28">
        <f>SUM(D41:D43)</f>
        <v>0</v>
      </c>
      <c r="E40" s="15"/>
    </row>
    <row r="41" spans="1:5" ht="12.75">
      <c r="A41" s="31"/>
      <c r="B41" s="27">
        <v>4260</v>
      </c>
      <c r="C41" s="18" t="s">
        <v>43</v>
      </c>
      <c r="D41" s="22"/>
      <c r="E41" s="15"/>
    </row>
    <row r="42" spans="1:5" ht="12.75">
      <c r="A42" s="21"/>
      <c r="B42" s="27">
        <v>4300</v>
      </c>
      <c r="C42" s="18" t="s">
        <v>15</v>
      </c>
      <c r="D42" s="22"/>
      <c r="E42" s="15"/>
    </row>
    <row r="43" spans="1:5" ht="25.5">
      <c r="A43" s="21"/>
      <c r="B43" s="27">
        <v>4590</v>
      </c>
      <c r="C43" s="18" t="s">
        <v>25</v>
      </c>
      <c r="D43" s="22"/>
      <c r="E43" s="15"/>
    </row>
    <row r="44" spans="1:5" ht="12.75">
      <c r="A44" s="31">
        <v>70095</v>
      </c>
      <c r="B44" s="26"/>
      <c r="C44" s="19" t="s">
        <v>13</v>
      </c>
      <c r="D44" s="20">
        <f>SUM(D45:D45)</f>
        <v>0</v>
      </c>
      <c r="E44" s="15"/>
    </row>
    <row r="45" spans="1:5" ht="13.5" thickBot="1">
      <c r="A45" s="66"/>
      <c r="B45" s="56">
        <v>4300</v>
      </c>
      <c r="C45" s="57" t="s">
        <v>15</v>
      </c>
      <c r="D45" s="58"/>
      <c r="E45" s="15"/>
    </row>
    <row r="46" spans="1:5" ht="13.5" thickBot="1">
      <c r="A46" s="62">
        <v>710</v>
      </c>
      <c r="B46" s="63"/>
      <c r="C46" s="64" t="s">
        <v>29</v>
      </c>
      <c r="D46" s="65">
        <f>SUM(D47,D49,D51)</f>
        <v>0</v>
      </c>
      <c r="E46" s="15"/>
    </row>
    <row r="47" spans="1:5" ht="12.75">
      <c r="A47" s="59">
        <v>71004</v>
      </c>
      <c r="B47" s="60"/>
      <c r="C47" s="61" t="s">
        <v>30</v>
      </c>
      <c r="D47" s="28">
        <f>SUM(D48:D48)</f>
        <v>0</v>
      </c>
      <c r="E47" s="15"/>
    </row>
    <row r="48" spans="1:5" ht="12.75">
      <c r="A48" s="21"/>
      <c r="B48" s="27">
        <v>4300</v>
      </c>
      <c r="C48" s="18" t="s">
        <v>15</v>
      </c>
      <c r="D48" s="22"/>
      <c r="E48" s="15"/>
    </row>
    <row r="49" spans="1:5" ht="25.5">
      <c r="A49" s="31">
        <v>71013</v>
      </c>
      <c r="B49" s="26"/>
      <c r="C49" s="19" t="s">
        <v>31</v>
      </c>
      <c r="D49" s="20">
        <f>SUM(D50)</f>
        <v>0</v>
      </c>
      <c r="E49" s="15"/>
    </row>
    <row r="50" spans="1:5" ht="12.75">
      <c r="A50" s="21"/>
      <c r="B50" s="27">
        <v>4300</v>
      </c>
      <c r="C50" s="18" t="s">
        <v>15</v>
      </c>
      <c r="D50" s="22"/>
      <c r="E50" s="15"/>
    </row>
    <row r="51" spans="1:5" ht="12.75">
      <c r="A51" s="31">
        <v>71095</v>
      </c>
      <c r="B51" s="26"/>
      <c r="C51" s="19" t="s">
        <v>13</v>
      </c>
      <c r="D51" s="20">
        <f>SUM(D52)</f>
        <v>0</v>
      </c>
      <c r="E51" s="15"/>
    </row>
    <row r="52" spans="1:5" ht="13.5" thickBot="1">
      <c r="A52" s="66"/>
      <c r="B52" s="56">
        <v>4300</v>
      </c>
      <c r="C52" s="57" t="s">
        <v>15</v>
      </c>
      <c r="D52" s="58"/>
      <c r="E52" s="15"/>
    </row>
    <row r="53" spans="1:5" ht="13.5" thickBot="1">
      <c r="A53" s="62">
        <v>750</v>
      </c>
      <c r="B53" s="63"/>
      <c r="C53" s="64" t="s">
        <v>32</v>
      </c>
      <c r="D53" s="65">
        <f>SUM(D54,D60,D86,D89)</f>
        <v>0</v>
      </c>
      <c r="E53" s="15"/>
    </row>
    <row r="54" spans="1:5" ht="25.5">
      <c r="A54" s="59">
        <v>75022</v>
      </c>
      <c r="B54" s="60"/>
      <c r="C54" s="61" t="s">
        <v>33</v>
      </c>
      <c r="D54" s="28">
        <f>SUM(D55:D59)</f>
        <v>0</v>
      </c>
      <c r="E54" s="15"/>
    </row>
    <row r="55" spans="1:5" ht="12.75">
      <c r="A55" s="21"/>
      <c r="B55" s="27">
        <v>3030</v>
      </c>
      <c r="C55" s="18" t="s">
        <v>34</v>
      </c>
      <c r="D55" s="22"/>
      <c r="E55" s="15"/>
    </row>
    <row r="56" spans="1:5" ht="12.75">
      <c r="A56" s="21"/>
      <c r="B56" s="27">
        <v>4210</v>
      </c>
      <c r="C56" s="18" t="s">
        <v>14</v>
      </c>
      <c r="D56" s="22"/>
      <c r="E56" s="15"/>
    </row>
    <row r="57" spans="1:5" ht="12.75">
      <c r="A57" s="21"/>
      <c r="B57" s="27">
        <v>4300</v>
      </c>
      <c r="C57" s="18" t="s">
        <v>15</v>
      </c>
      <c r="D57" s="22"/>
      <c r="E57" s="15"/>
    </row>
    <row r="58" spans="1:5" ht="12.75">
      <c r="A58" s="21"/>
      <c r="B58" s="27">
        <v>4410</v>
      </c>
      <c r="C58" s="18" t="s">
        <v>48</v>
      </c>
      <c r="D58" s="22"/>
      <c r="E58" s="15"/>
    </row>
    <row r="59" spans="1:5" ht="12.75">
      <c r="A59" s="21"/>
      <c r="B59" s="27">
        <v>4430</v>
      </c>
      <c r="C59" s="18" t="s">
        <v>16</v>
      </c>
      <c r="D59" s="22"/>
      <c r="E59" s="15"/>
    </row>
    <row r="60" spans="1:5" ht="25.5">
      <c r="A60" s="31">
        <v>75023</v>
      </c>
      <c r="B60" s="26"/>
      <c r="C60" s="19" t="s">
        <v>35</v>
      </c>
      <c r="D60" s="20">
        <f>SUM(D61:D85)</f>
        <v>0</v>
      </c>
      <c r="E60" s="15"/>
    </row>
    <row r="61" spans="1:5" ht="25.5">
      <c r="A61" s="21"/>
      <c r="B61" s="27">
        <v>3020</v>
      </c>
      <c r="C61" s="18" t="s">
        <v>36</v>
      </c>
      <c r="D61" s="22"/>
      <c r="E61" s="15"/>
    </row>
    <row r="62" spans="1:5" ht="12.75">
      <c r="A62" s="21"/>
      <c r="B62" s="27">
        <v>4010</v>
      </c>
      <c r="C62" s="18" t="s">
        <v>37</v>
      </c>
      <c r="D62" s="22"/>
      <c r="E62" s="15"/>
    </row>
    <row r="63" spans="1:5" ht="12.75">
      <c r="A63" s="21"/>
      <c r="B63" s="27">
        <v>4040</v>
      </c>
      <c r="C63" s="18" t="s">
        <v>38</v>
      </c>
      <c r="D63" s="22"/>
      <c r="E63" s="15"/>
    </row>
    <row r="64" spans="1:5" ht="12.75">
      <c r="A64" s="21"/>
      <c r="B64" s="27">
        <v>4110</v>
      </c>
      <c r="C64" s="18" t="s">
        <v>39</v>
      </c>
      <c r="D64" s="22"/>
      <c r="E64" s="15"/>
    </row>
    <row r="65" spans="1:5" ht="12.75">
      <c r="A65" s="21"/>
      <c r="B65" s="27">
        <v>4120</v>
      </c>
      <c r="C65" s="18" t="s">
        <v>40</v>
      </c>
      <c r="D65" s="22"/>
      <c r="E65" s="15"/>
    </row>
    <row r="66" spans="1:5" ht="25.5">
      <c r="A66" s="21"/>
      <c r="B66" s="27">
        <v>4140</v>
      </c>
      <c r="C66" s="18" t="s">
        <v>41</v>
      </c>
      <c r="D66" s="22"/>
      <c r="E66" s="15"/>
    </row>
    <row r="67" spans="1:5" ht="12.75">
      <c r="A67" s="21"/>
      <c r="B67" s="27">
        <v>4170</v>
      </c>
      <c r="C67" s="18" t="s">
        <v>42</v>
      </c>
      <c r="D67" s="22"/>
      <c r="E67" s="15"/>
    </row>
    <row r="68" spans="1:5" ht="12.75">
      <c r="A68" s="21"/>
      <c r="B68" s="27">
        <v>4210</v>
      </c>
      <c r="C68" s="18" t="s">
        <v>14</v>
      </c>
      <c r="D68" s="22"/>
      <c r="E68" s="15"/>
    </row>
    <row r="69" spans="1:5" ht="25.5">
      <c r="A69" s="21"/>
      <c r="B69" s="27">
        <v>4240</v>
      </c>
      <c r="C69" s="18" t="s">
        <v>74</v>
      </c>
      <c r="D69" s="22"/>
      <c r="E69" s="15"/>
    </row>
    <row r="70" spans="1:5" ht="12.75">
      <c r="A70" s="21"/>
      <c r="B70" s="27">
        <v>4260</v>
      </c>
      <c r="C70" s="18" t="s">
        <v>43</v>
      </c>
      <c r="D70" s="22"/>
      <c r="E70" s="15"/>
    </row>
    <row r="71" spans="1:5" ht="12.75">
      <c r="A71" s="21"/>
      <c r="B71" s="27">
        <v>4270</v>
      </c>
      <c r="C71" s="18" t="s">
        <v>24</v>
      </c>
      <c r="D71" s="22"/>
      <c r="E71" s="15"/>
    </row>
    <row r="72" spans="1:5" ht="12.75">
      <c r="A72" s="21"/>
      <c r="B72" s="27">
        <v>4280</v>
      </c>
      <c r="C72" s="18" t="s">
        <v>44</v>
      </c>
      <c r="D72" s="22"/>
      <c r="E72" s="15"/>
    </row>
    <row r="73" spans="1:5" ht="12.75">
      <c r="A73" s="21"/>
      <c r="B73" s="27">
        <v>4300</v>
      </c>
      <c r="C73" s="18" t="s">
        <v>15</v>
      </c>
      <c r="D73" s="22"/>
      <c r="E73" s="15"/>
    </row>
    <row r="74" spans="1:5" ht="12.75">
      <c r="A74" s="21"/>
      <c r="B74" s="27">
        <v>4350</v>
      </c>
      <c r="C74" s="18" t="s">
        <v>45</v>
      </c>
      <c r="D74" s="22"/>
      <c r="E74" s="15"/>
    </row>
    <row r="75" spans="1:5" ht="25.5">
      <c r="A75" s="21"/>
      <c r="B75" s="27">
        <v>4360</v>
      </c>
      <c r="C75" s="18" t="s">
        <v>46</v>
      </c>
      <c r="D75" s="22"/>
      <c r="E75" s="15"/>
    </row>
    <row r="76" spans="1:5" ht="25.5">
      <c r="A76" s="21"/>
      <c r="B76" s="27">
        <v>4370</v>
      </c>
      <c r="C76" s="18" t="s">
        <v>47</v>
      </c>
      <c r="D76" s="22"/>
      <c r="E76" s="15"/>
    </row>
    <row r="77" spans="1:5" ht="12.75">
      <c r="A77" s="21"/>
      <c r="B77" s="27">
        <v>4410</v>
      </c>
      <c r="C77" s="18" t="s">
        <v>48</v>
      </c>
      <c r="D77" s="22"/>
      <c r="E77" s="15"/>
    </row>
    <row r="78" spans="1:5" ht="12.75">
      <c r="A78" s="21"/>
      <c r="B78" s="27">
        <v>4420</v>
      </c>
      <c r="C78" s="18" t="s">
        <v>49</v>
      </c>
      <c r="D78" s="22"/>
      <c r="E78" s="15"/>
    </row>
    <row r="79" spans="1:5" ht="12.75">
      <c r="A79" s="21"/>
      <c r="B79" s="27">
        <v>4430</v>
      </c>
      <c r="C79" s="18" t="s">
        <v>16</v>
      </c>
      <c r="D79" s="22"/>
      <c r="E79" s="15"/>
    </row>
    <row r="80" spans="1:5" ht="25.5">
      <c r="A80" s="21"/>
      <c r="B80" s="27">
        <v>4440</v>
      </c>
      <c r="C80" s="18" t="s">
        <v>50</v>
      </c>
      <c r="D80" s="22"/>
      <c r="E80" s="15"/>
    </row>
    <row r="81" spans="1:5" ht="12.75">
      <c r="A81" s="21"/>
      <c r="B81" s="27">
        <v>4580</v>
      </c>
      <c r="C81" s="18" t="s">
        <v>136</v>
      </c>
      <c r="D81" s="22"/>
      <c r="E81" s="15"/>
    </row>
    <row r="82" spans="1:5" ht="25.5">
      <c r="A82" s="21"/>
      <c r="B82" s="27">
        <v>4610</v>
      </c>
      <c r="C82" s="18" t="s">
        <v>135</v>
      </c>
      <c r="D82" s="22"/>
      <c r="E82" s="15"/>
    </row>
    <row r="83" spans="1:5" ht="25.5">
      <c r="A83" s="21"/>
      <c r="B83" s="27">
        <v>4700</v>
      </c>
      <c r="C83" s="18" t="s">
        <v>51</v>
      </c>
      <c r="D83" s="22"/>
      <c r="E83" s="15"/>
    </row>
    <row r="84" spans="1:5" ht="25.5">
      <c r="A84" s="21"/>
      <c r="B84" s="27">
        <v>4740</v>
      </c>
      <c r="C84" s="18" t="s">
        <v>52</v>
      </c>
      <c r="D84" s="22"/>
      <c r="E84" s="15"/>
    </row>
    <row r="85" spans="1:5" ht="25.5">
      <c r="A85" s="21"/>
      <c r="B85" s="27">
        <v>4750</v>
      </c>
      <c r="C85" s="18" t="s">
        <v>53</v>
      </c>
      <c r="D85" s="22"/>
      <c r="E85" s="15"/>
    </row>
    <row r="86" spans="1:5" ht="25.5">
      <c r="A86" s="31">
        <v>75075</v>
      </c>
      <c r="B86" s="26"/>
      <c r="C86" s="19" t="s">
        <v>54</v>
      </c>
      <c r="D86" s="20">
        <f>SUM(D87:D88)</f>
        <v>0</v>
      </c>
      <c r="E86" s="15"/>
    </row>
    <row r="87" spans="1:5" ht="12.75">
      <c r="A87" s="31"/>
      <c r="B87" s="27">
        <v>4210</v>
      </c>
      <c r="C87" s="27" t="s">
        <v>14</v>
      </c>
      <c r="D87" s="22"/>
      <c r="E87" s="15"/>
    </row>
    <row r="88" spans="1:5" ht="12.75">
      <c r="A88" s="21"/>
      <c r="B88" s="27">
        <v>4300</v>
      </c>
      <c r="C88" s="18" t="s">
        <v>15</v>
      </c>
      <c r="D88" s="22"/>
      <c r="E88" s="15"/>
    </row>
    <row r="89" spans="1:5" ht="12.75">
      <c r="A89" s="31">
        <v>75095</v>
      </c>
      <c r="B89" s="26"/>
      <c r="C89" s="19" t="s">
        <v>13</v>
      </c>
      <c r="D89" s="20">
        <f>SUM(D90:D98)</f>
        <v>0</v>
      </c>
      <c r="E89" s="15"/>
    </row>
    <row r="90" spans="1:5" ht="12.75">
      <c r="A90" s="21"/>
      <c r="B90" s="27">
        <v>4210</v>
      </c>
      <c r="C90" s="18" t="s">
        <v>14</v>
      </c>
      <c r="D90" s="22"/>
      <c r="E90" s="15"/>
    </row>
    <row r="91" spans="1:5" ht="12.75">
      <c r="A91" s="21"/>
      <c r="B91" s="27">
        <v>4260</v>
      </c>
      <c r="C91" s="18" t="s">
        <v>43</v>
      </c>
      <c r="D91" s="22"/>
      <c r="E91" s="15"/>
    </row>
    <row r="92" spans="1:5" ht="12.75">
      <c r="A92" s="21"/>
      <c r="B92" s="27">
        <v>4270</v>
      </c>
      <c r="C92" s="18" t="s">
        <v>24</v>
      </c>
      <c r="D92" s="22"/>
      <c r="E92" s="15"/>
    </row>
    <row r="93" spans="1:5" ht="12.75">
      <c r="A93" s="21"/>
      <c r="B93" s="27">
        <v>4300</v>
      </c>
      <c r="C93" s="18" t="s">
        <v>15</v>
      </c>
      <c r="D93" s="22"/>
      <c r="E93" s="15"/>
    </row>
    <row r="94" spans="1:5" ht="12.75">
      <c r="A94" s="21"/>
      <c r="B94" s="27">
        <v>4350</v>
      </c>
      <c r="C94" s="18" t="s">
        <v>55</v>
      </c>
      <c r="D94" s="22"/>
      <c r="E94" s="15"/>
    </row>
    <row r="95" spans="1:5" ht="25.5">
      <c r="A95" s="21"/>
      <c r="B95" s="27">
        <v>4370</v>
      </c>
      <c r="C95" s="18" t="s">
        <v>47</v>
      </c>
      <c r="D95" s="22"/>
      <c r="E95" s="15"/>
    </row>
    <row r="96" spans="1:5" ht="25.5">
      <c r="A96" s="21"/>
      <c r="B96" s="27">
        <v>4400</v>
      </c>
      <c r="C96" s="18" t="s">
        <v>56</v>
      </c>
      <c r="D96" s="22"/>
      <c r="E96" s="15"/>
    </row>
    <row r="97" spans="1:5" ht="12.75">
      <c r="A97" s="21"/>
      <c r="B97" s="27">
        <v>4430</v>
      </c>
      <c r="C97" s="18" t="s">
        <v>16</v>
      </c>
      <c r="D97" s="22"/>
      <c r="E97" s="15"/>
    </row>
    <row r="98" spans="1:5" ht="26.25" thickBot="1">
      <c r="A98" s="66"/>
      <c r="B98" s="56">
        <v>4750</v>
      </c>
      <c r="C98" s="57" t="s">
        <v>53</v>
      </c>
      <c r="D98" s="58"/>
      <c r="E98" s="15"/>
    </row>
    <row r="99" spans="1:5" ht="26.25" thickBot="1">
      <c r="A99" s="62">
        <v>754</v>
      </c>
      <c r="B99" s="63"/>
      <c r="C99" s="64" t="s">
        <v>57</v>
      </c>
      <c r="D99" s="65">
        <f>D100+D102+D115+D117</f>
        <v>25000</v>
      </c>
      <c r="E99" s="15"/>
    </row>
    <row r="100" spans="1:5" ht="12.75">
      <c r="A100" s="59">
        <v>75404</v>
      </c>
      <c r="B100" s="60"/>
      <c r="C100" s="61" t="s">
        <v>126</v>
      </c>
      <c r="D100" s="28">
        <f>D101</f>
        <v>0</v>
      </c>
      <c r="E100" s="15"/>
    </row>
    <row r="101" spans="1:5" ht="22.5">
      <c r="A101" s="52"/>
      <c r="B101" s="27">
        <v>6170</v>
      </c>
      <c r="C101" s="44" t="s">
        <v>127</v>
      </c>
      <c r="D101" s="22"/>
      <c r="E101" s="15"/>
    </row>
    <row r="102" spans="1:5" ht="12.75">
      <c r="A102" s="31">
        <v>75412</v>
      </c>
      <c r="B102" s="26"/>
      <c r="C102" s="19" t="s">
        <v>58</v>
      </c>
      <c r="D102" s="20">
        <f>SUM(D103:D114)</f>
        <v>25000</v>
      </c>
      <c r="E102" s="15"/>
    </row>
    <row r="103" spans="1:5" ht="33.75">
      <c r="A103" s="52"/>
      <c r="B103" s="27">
        <v>2820</v>
      </c>
      <c r="C103" s="44" t="s">
        <v>59</v>
      </c>
      <c r="D103" s="22">
        <v>25000</v>
      </c>
      <c r="E103" s="76"/>
    </row>
    <row r="104" spans="1:5" ht="12.75">
      <c r="A104" s="21"/>
      <c r="B104" s="27">
        <v>3030</v>
      </c>
      <c r="C104" s="18" t="s">
        <v>34</v>
      </c>
      <c r="D104" s="22"/>
      <c r="E104" s="15"/>
    </row>
    <row r="105" spans="1:5" ht="12.75">
      <c r="A105" s="21"/>
      <c r="B105" s="27">
        <v>4110</v>
      </c>
      <c r="C105" s="18" t="s">
        <v>39</v>
      </c>
      <c r="D105" s="22"/>
      <c r="E105" s="15"/>
    </row>
    <row r="106" spans="1:5" ht="12.75">
      <c r="A106" s="21"/>
      <c r="B106" s="27">
        <v>4120</v>
      </c>
      <c r="C106" s="18" t="s">
        <v>40</v>
      </c>
      <c r="D106" s="22"/>
      <c r="E106" s="15"/>
    </row>
    <row r="107" spans="1:5" ht="12.75">
      <c r="A107" s="21"/>
      <c r="B107" s="27">
        <v>4170</v>
      </c>
      <c r="C107" s="18" t="s">
        <v>42</v>
      </c>
      <c r="D107" s="22"/>
      <c r="E107" s="15"/>
    </row>
    <row r="108" spans="1:5" ht="12.75">
      <c r="A108" s="21"/>
      <c r="B108" s="27">
        <v>4210</v>
      </c>
      <c r="C108" s="18" t="s">
        <v>14</v>
      </c>
      <c r="D108" s="22"/>
      <c r="E108" s="15"/>
    </row>
    <row r="109" spans="1:5" ht="12.75">
      <c r="A109" s="21"/>
      <c r="B109" s="27">
        <v>4250</v>
      </c>
      <c r="C109" s="18" t="s">
        <v>60</v>
      </c>
      <c r="D109" s="22"/>
      <c r="E109" s="15"/>
    </row>
    <row r="110" spans="1:5" ht="12.75">
      <c r="A110" s="21"/>
      <c r="B110" s="27">
        <v>4260</v>
      </c>
      <c r="C110" s="18" t="s">
        <v>43</v>
      </c>
      <c r="D110" s="22"/>
      <c r="E110" s="15"/>
    </row>
    <row r="111" spans="1:5" ht="12.75">
      <c r="A111" s="21"/>
      <c r="B111" s="27">
        <v>4270</v>
      </c>
      <c r="C111" s="18" t="s">
        <v>24</v>
      </c>
      <c r="D111" s="22"/>
      <c r="E111" s="15"/>
    </row>
    <row r="112" spans="1:5" ht="12.75">
      <c r="A112" s="21"/>
      <c r="B112" s="27">
        <v>4280</v>
      </c>
      <c r="C112" s="18" t="s">
        <v>44</v>
      </c>
      <c r="D112" s="22"/>
      <c r="E112" s="15"/>
    </row>
    <row r="113" spans="1:5" ht="12.75">
      <c r="A113" s="21"/>
      <c r="B113" s="27">
        <v>4300</v>
      </c>
      <c r="C113" s="18" t="s">
        <v>15</v>
      </c>
      <c r="D113" s="22"/>
      <c r="E113" s="15"/>
    </row>
    <row r="114" spans="1:5" ht="12.75">
      <c r="A114" s="21"/>
      <c r="B114" s="27">
        <v>4430</v>
      </c>
      <c r="C114" s="18" t="s">
        <v>16</v>
      </c>
      <c r="D114" s="22"/>
      <c r="E114" s="15"/>
    </row>
    <row r="115" spans="1:5" ht="12.75">
      <c r="A115" s="31">
        <v>75421</v>
      </c>
      <c r="B115" s="26"/>
      <c r="C115" s="19" t="s">
        <v>62</v>
      </c>
      <c r="D115" s="20">
        <f>SUM(D116)</f>
        <v>0</v>
      </c>
      <c r="E115" s="15"/>
    </row>
    <row r="116" spans="1:5" ht="12.75">
      <c r="A116" s="66"/>
      <c r="B116" s="56">
        <v>4810</v>
      </c>
      <c r="C116" s="57" t="s">
        <v>133</v>
      </c>
      <c r="D116" s="58"/>
      <c r="E116" s="15"/>
    </row>
    <row r="117" spans="1:5" ht="12.75">
      <c r="A117" s="31">
        <v>75495</v>
      </c>
      <c r="B117" s="26"/>
      <c r="C117" s="19" t="s">
        <v>13</v>
      </c>
      <c r="D117" s="20">
        <f>SUM(D118)</f>
        <v>0</v>
      </c>
      <c r="E117" s="15"/>
    </row>
    <row r="118" spans="1:5" ht="13.5" thickBot="1">
      <c r="A118" s="66"/>
      <c r="B118" s="56">
        <v>6050</v>
      </c>
      <c r="C118" s="57" t="s">
        <v>26</v>
      </c>
      <c r="D118" s="58"/>
      <c r="E118" s="15"/>
    </row>
    <row r="119" spans="1:5" ht="51.75" thickBot="1">
      <c r="A119" s="62">
        <v>756</v>
      </c>
      <c r="B119" s="63"/>
      <c r="C119" s="64" t="s">
        <v>64</v>
      </c>
      <c r="D119" s="65">
        <f>SUM(D120)</f>
        <v>0</v>
      </c>
      <c r="E119" s="15"/>
    </row>
    <row r="120" spans="1:5" ht="25.5">
      <c r="A120" s="59">
        <v>75647</v>
      </c>
      <c r="B120" s="60"/>
      <c r="C120" s="61" t="s">
        <v>65</v>
      </c>
      <c r="D120" s="28">
        <f>SUM(D121:D125)</f>
        <v>0</v>
      </c>
      <c r="E120" s="15"/>
    </row>
    <row r="121" spans="1:5" ht="12.75">
      <c r="A121" s="21"/>
      <c r="B121" s="27">
        <v>4100</v>
      </c>
      <c r="C121" s="18" t="s">
        <v>66</v>
      </c>
      <c r="D121" s="22"/>
      <c r="E121" s="15"/>
    </row>
    <row r="122" spans="1:5" ht="12.75">
      <c r="A122" s="21"/>
      <c r="B122" s="27">
        <v>4110</v>
      </c>
      <c r="C122" s="18" t="s">
        <v>39</v>
      </c>
      <c r="D122" s="22"/>
      <c r="E122" s="15"/>
    </row>
    <row r="123" spans="1:5" ht="12.75">
      <c r="A123" s="21"/>
      <c r="B123" s="27">
        <v>4120</v>
      </c>
      <c r="C123" s="18" t="s">
        <v>40</v>
      </c>
      <c r="D123" s="22"/>
      <c r="E123" s="15"/>
    </row>
    <row r="124" spans="1:5" ht="12.75">
      <c r="A124" s="21"/>
      <c r="B124" s="27">
        <v>4210</v>
      </c>
      <c r="C124" s="18" t="s">
        <v>14</v>
      </c>
      <c r="D124" s="22"/>
      <c r="E124" s="15"/>
    </row>
    <row r="125" spans="1:5" ht="13.5" thickBot="1">
      <c r="A125" s="66"/>
      <c r="B125" s="56">
        <v>4300</v>
      </c>
      <c r="C125" s="57" t="s">
        <v>15</v>
      </c>
      <c r="D125" s="58"/>
      <c r="E125" s="15"/>
    </row>
    <row r="126" spans="1:5" ht="13.5" thickBot="1">
      <c r="A126" s="62">
        <v>757</v>
      </c>
      <c r="B126" s="63"/>
      <c r="C126" s="64" t="s">
        <v>67</v>
      </c>
      <c r="D126" s="65">
        <f>D129+D127</f>
        <v>0</v>
      </c>
      <c r="E126" s="15"/>
    </row>
    <row r="127" spans="1:5" ht="38.25">
      <c r="A127" s="59">
        <v>75702</v>
      </c>
      <c r="B127" s="60"/>
      <c r="C127" s="61" t="s">
        <v>68</v>
      </c>
      <c r="D127" s="28">
        <f>SUM(D128:D128)</f>
        <v>0</v>
      </c>
      <c r="E127" s="15"/>
    </row>
    <row r="128" spans="1:5" ht="38.25">
      <c r="A128" s="66"/>
      <c r="B128" s="56">
        <v>8070</v>
      </c>
      <c r="C128" s="57" t="s">
        <v>69</v>
      </c>
      <c r="D128" s="58"/>
      <c r="E128" s="15"/>
    </row>
    <row r="129" spans="1:5" ht="38.25">
      <c r="A129" s="31">
        <v>75704</v>
      </c>
      <c r="B129" s="26"/>
      <c r="C129" s="19" t="s">
        <v>138</v>
      </c>
      <c r="D129" s="20">
        <f>SUM(D130:D130)</f>
        <v>0</v>
      </c>
      <c r="E129" s="15"/>
    </row>
    <row r="130" spans="1:5" ht="13.5" thickBot="1">
      <c r="A130" s="53"/>
      <c r="B130" s="54">
        <v>8020</v>
      </c>
      <c r="C130" s="23" t="s">
        <v>137</v>
      </c>
      <c r="D130" s="24"/>
      <c r="E130" s="15"/>
    </row>
    <row r="131" spans="1:5" ht="13.5" thickBot="1">
      <c r="A131" s="62">
        <v>758</v>
      </c>
      <c r="B131" s="63"/>
      <c r="C131" s="64" t="s">
        <v>70</v>
      </c>
      <c r="D131" s="65">
        <f>SUM(D132)</f>
        <v>0</v>
      </c>
      <c r="E131" s="15"/>
    </row>
    <row r="132" spans="1:5" ht="12.75">
      <c r="A132" s="59">
        <v>75818</v>
      </c>
      <c r="B132" s="60"/>
      <c r="C132" s="61" t="s">
        <v>63</v>
      </c>
      <c r="D132" s="28">
        <f>SUM(D133)</f>
        <v>0</v>
      </c>
      <c r="E132" s="15"/>
    </row>
    <row r="133" spans="1:5" ht="13.5" thickBot="1">
      <c r="A133" s="66"/>
      <c r="B133" s="56">
        <v>4810</v>
      </c>
      <c r="C133" s="57" t="s">
        <v>133</v>
      </c>
      <c r="D133" s="58"/>
      <c r="E133" s="15"/>
    </row>
    <row r="134" spans="1:5" ht="13.5" thickBot="1">
      <c r="A134" s="62">
        <v>801</v>
      </c>
      <c r="B134" s="63"/>
      <c r="C134" s="64" t="s">
        <v>71</v>
      </c>
      <c r="D134" s="65">
        <f>SUM(D135,D157,D171,D196,D218,D232,D252,D256,D272)</f>
        <v>20000</v>
      </c>
      <c r="E134" s="15"/>
    </row>
    <row r="135" spans="1:5" ht="12.75">
      <c r="A135" s="59">
        <v>80101</v>
      </c>
      <c r="B135" s="60"/>
      <c r="C135" s="61" t="s">
        <v>72</v>
      </c>
      <c r="D135" s="28">
        <f>SUM(D136:D156)</f>
        <v>0</v>
      </c>
      <c r="E135" s="15"/>
    </row>
    <row r="136" spans="1:5" ht="25.5">
      <c r="A136" s="21"/>
      <c r="B136" s="27">
        <v>3020</v>
      </c>
      <c r="C136" s="18" t="s">
        <v>73</v>
      </c>
      <c r="D136" s="22"/>
      <c r="E136" s="15"/>
    </row>
    <row r="137" spans="1:5" ht="12.75">
      <c r="A137" s="21"/>
      <c r="B137" s="27">
        <v>4010</v>
      </c>
      <c r="C137" s="18" t="s">
        <v>37</v>
      </c>
      <c r="D137" s="22"/>
      <c r="E137" s="15"/>
    </row>
    <row r="138" spans="1:5" ht="12.75">
      <c r="A138" s="21"/>
      <c r="B138" s="27">
        <v>4040</v>
      </c>
      <c r="C138" s="18" t="s">
        <v>38</v>
      </c>
      <c r="D138" s="22"/>
      <c r="E138" s="15"/>
    </row>
    <row r="139" spans="1:5" ht="12.75">
      <c r="A139" s="21"/>
      <c r="B139" s="27">
        <v>4110</v>
      </c>
      <c r="C139" s="18" t="s">
        <v>39</v>
      </c>
      <c r="D139" s="22"/>
      <c r="E139" s="15"/>
    </row>
    <row r="140" spans="1:5" ht="12.75">
      <c r="A140" s="21"/>
      <c r="B140" s="27">
        <v>4120</v>
      </c>
      <c r="C140" s="18" t="s">
        <v>40</v>
      </c>
      <c r="D140" s="22"/>
      <c r="E140" s="15"/>
    </row>
    <row r="141" spans="1:5" ht="12.75">
      <c r="A141" s="21"/>
      <c r="B141" s="27">
        <v>4170</v>
      </c>
      <c r="C141" s="18" t="s">
        <v>42</v>
      </c>
      <c r="D141" s="22"/>
      <c r="E141" s="15"/>
    </row>
    <row r="142" spans="1:5" ht="12.75">
      <c r="A142" s="21"/>
      <c r="B142" s="27">
        <v>4210</v>
      </c>
      <c r="C142" s="18" t="s">
        <v>14</v>
      </c>
      <c r="D142" s="22"/>
      <c r="E142" s="15"/>
    </row>
    <row r="143" spans="1:5" ht="25.5">
      <c r="A143" s="21"/>
      <c r="B143" s="27">
        <v>4240</v>
      </c>
      <c r="C143" s="18" t="s">
        <v>74</v>
      </c>
      <c r="D143" s="22"/>
      <c r="E143" s="15"/>
    </row>
    <row r="144" spans="1:5" ht="12.75">
      <c r="A144" s="21"/>
      <c r="B144" s="27">
        <v>4260</v>
      </c>
      <c r="C144" s="18" t="s">
        <v>43</v>
      </c>
      <c r="D144" s="22"/>
      <c r="E144" s="15"/>
    </row>
    <row r="145" spans="1:5" ht="12.75">
      <c r="A145" s="21"/>
      <c r="B145" s="27">
        <v>4270</v>
      </c>
      <c r="C145" s="18" t="s">
        <v>24</v>
      </c>
      <c r="D145" s="22"/>
      <c r="E145" s="15"/>
    </row>
    <row r="146" spans="1:5" ht="12.75">
      <c r="A146" s="21"/>
      <c r="B146" s="27">
        <v>4280</v>
      </c>
      <c r="C146" s="18" t="s">
        <v>44</v>
      </c>
      <c r="D146" s="22"/>
      <c r="E146" s="15"/>
    </row>
    <row r="147" spans="1:5" ht="12.75">
      <c r="A147" s="21"/>
      <c r="B147" s="27">
        <v>4300</v>
      </c>
      <c r="C147" s="18" t="s">
        <v>15</v>
      </c>
      <c r="D147" s="22"/>
      <c r="E147" s="15"/>
    </row>
    <row r="148" spans="1:5" ht="12.75">
      <c r="A148" s="21"/>
      <c r="B148" s="27">
        <v>4350</v>
      </c>
      <c r="C148" s="18" t="s">
        <v>45</v>
      </c>
      <c r="D148" s="22"/>
      <c r="E148" s="15"/>
    </row>
    <row r="149" spans="1:5" ht="25.5">
      <c r="A149" s="21"/>
      <c r="B149" s="27">
        <v>4360</v>
      </c>
      <c r="C149" s="18" t="s">
        <v>46</v>
      </c>
      <c r="D149" s="22"/>
      <c r="E149" s="15"/>
    </row>
    <row r="150" spans="1:5" ht="25.5">
      <c r="A150" s="21"/>
      <c r="B150" s="27">
        <v>4370</v>
      </c>
      <c r="C150" s="18" t="s">
        <v>47</v>
      </c>
      <c r="D150" s="22"/>
      <c r="E150" s="15"/>
    </row>
    <row r="151" spans="1:5" ht="12.75">
      <c r="A151" s="21"/>
      <c r="B151" s="27">
        <v>4410</v>
      </c>
      <c r="C151" s="18" t="s">
        <v>48</v>
      </c>
      <c r="D151" s="22"/>
      <c r="E151" s="15"/>
    </row>
    <row r="152" spans="1:5" ht="12.75">
      <c r="A152" s="21"/>
      <c r="B152" s="27">
        <v>4430</v>
      </c>
      <c r="C152" s="18" t="s">
        <v>16</v>
      </c>
      <c r="D152" s="22"/>
      <c r="E152" s="15"/>
    </row>
    <row r="153" spans="1:5" ht="25.5">
      <c r="A153" s="21"/>
      <c r="B153" s="27">
        <v>4440</v>
      </c>
      <c r="C153" s="18" t="s">
        <v>50</v>
      </c>
      <c r="D153" s="22"/>
      <c r="E153" s="15"/>
    </row>
    <row r="154" spans="1:5" ht="25.5">
      <c r="A154" s="21"/>
      <c r="B154" s="27">
        <v>4740</v>
      </c>
      <c r="C154" s="18" t="s">
        <v>52</v>
      </c>
      <c r="D154" s="22"/>
      <c r="E154" s="15"/>
    </row>
    <row r="155" spans="1:5" ht="25.5">
      <c r="A155" s="21"/>
      <c r="B155" s="27">
        <v>4750</v>
      </c>
      <c r="C155" s="18" t="s">
        <v>53</v>
      </c>
      <c r="D155" s="22"/>
      <c r="E155" s="15"/>
    </row>
    <row r="156" spans="1:5" ht="25.5">
      <c r="A156" s="21"/>
      <c r="B156" s="27">
        <v>6050</v>
      </c>
      <c r="C156" s="18" t="s">
        <v>61</v>
      </c>
      <c r="D156" s="22"/>
      <c r="E156" s="15"/>
    </row>
    <row r="157" spans="1:5" ht="25.5">
      <c r="A157" s="31">
        <v>80103</v>
      </c>
      <c r="B157" s="26"/>
      <c r="C157" s="19" t="s">
        <v>75</v>
      </c>
      <c r="D157" s="20">
        <f>SUM(D158:D170)</f>
        <v>0</v>
      </c>
      <c r="E157" s="15"/>
    </row>
    <row r="158" spans="1:5" ht="25.5">
      <c r="A158" s="31"/>
      <c r="B158" s="27">
        <v>3020</v>
      </c>
      <c r="C158" s="18" t="s">
        <v>73</v>
      </c>
      <c r="D158" s="22"/>
      <c r="E158" s="15"/>
    </row>
    <row r="159" spans="1:5" ht="12.75">
      <c r="A159" s="31"/>
      <c r="B159" s="27">
        <v>4010</v>
      </c>
      <c r="C159" s="18" t="s">
        <v>37</v>
      </c>
      <c r="D159" s="22"/>
      <c r="E159" s="15"/>
    </row>
    <row r="160" spans="1:5" ht="12.75">
      <c r="A160" s="31"/>
      <c r="B160" s="27">
        <v>4040</v>
      </c>
      <c r="C160" s="18" t="s">
        <v>38</v>
      </c>
      <c r="D160" s="22"/>
      <c r="E160" s="15"/>
    </row>
    <row r="161" spans="1:5" ht="12.75">
      <c r="A161" s="31"/>
      <c r="B161" s="27">
        <v>4110</v>
      </c>
      <c r="C161" s="18" t="s">
        <v>39</v>
      </c>
      <c r="D161" s="22"/>
      <c r="E161" s="15"/>
    </row>
    <row r="162" spans="1:5" ht="12.75">
      <c r="A162" s="31"/>
      <c r="B162" s="27">
        <v>4120</v>
      </c>
      <c r="C162" s="18" t="s">
        <v>40</v>
      </c>
      <c r="D162" s="22"/>
      <c r="E162" s="15"/>
    </row>
    <row r="163" spans="1:5" ht="12.75">
      <c r="A163" s="31"/>
      <c r="B163" s="27">
        <v>4210</v>
      </c>
      <c r="C163" s="18" t="s">
        <v>14</v>
      </c>
      <c r="D163" s="22"/>
      <c r="E163" s="15"/>
    </row>
    <row r="164" spans="1:5" ht="25.5">
      <c r="A164" s="31"/>
      <c r="B164" s="27">
        <v>4240</v>
      </c>
      <c r="C164" s="18" t="s">
        <v>74</v>
      </c>
      <c r="D164" s="22"/>
      <c r="E164" s="15"/>
    </row>
    <row r="165" spans="1:5" ht="12.75">
      <c r="A165" s="31"/>
      <c r="B165" s="27">
        <v>4270</v>
      </c>
      <c r="C165" s="18" t="s">
        <v>24</v>
      </c>
      <c r="D165" s="22"/>
      <c r="E165" s="15"/>
    </row>
    <row r="166" spans="1:5" ht="12.75">
      <c r="A166" s="31"/>
      <c r="B166" s="27">
        <v>4280</v>
      </c>
      <c r="C166" s="18" t="s">
        <v>44</v>
      </c>
      <c r="D166" s="22"/>
      <c r="E166" s="15"/>
    </row>
    <row r="167" spans="1:5" ht="12.75">
      <c r="A167" s="31"/>
      <c r="B167" s="27">
        <v>4300</v>
      </c>
      <c r="C167" s="18" t="s">
        <v>15</v>
      </c>
      <c r="D167" s="22"/>
      <c r="E167" s="15"/>
    </row>
    <row r="168" spans="1:5" ht="12.75">
      <c r="A168" s="21"/>
      <c r="B168" s="27">
        <v>4410</v>
      </c>
      <c r="C168" s="18" t="s">
        <v>48</v>
      </c>
      <c r="D168" s="22"/>
      <c r="E168" s="15"/>
    </row>
    <row r="169" spans="1:5" ht="25.5">
      <c r="A169" s="21"/>
      <c r="B169" s="27">
        <v>4440</v>
      </c>
      <c r="C169" s="18" t="s">
        <v>50</v>
      </c>
      <c r="D169" s="22"/>
      <c r="E169" s="15"/>
    </row>
    <row r="170" spans="1:5" ht="25.5">
      <c r="A170" s="21"/>
      <c r="B170" s="27">
        <v>4740</v>
      </c>
      <c r="C170" s="18" t="s">
        <v>52</v>
      </c>
      <c r="D170" s="22"/>
      <c r="E170" s="15"/>
    </row>
    <row r="171" spans="1:5" ht="12.75">
      <c r="A171" s="31">
        <v>80104</v>
      </c>
      <c r="B171" s="26"/>
      <c r="C171" s="19" t="s">
        <v>77</v>
      </c>
      <c r="D171" s="20">
        <f>SUM(D172:D195)</f>
        <v>20000</v>
      </c>
      <c r="E171" s="15"/>
    </row>
    <row r="172" spans="1:5" ht="45">
      <c r="A172" s="31"/>
      <c r="B172" s="27">
        <v>2310</v>
      </c>
      <c r="C172" s="44" t="s">
        <v>20</v>
      </c>
      <c r="D172" s="22">
        <v>20000</v>
      </c>
      <c r="E172" s="15"/>
    </row>
    <row r="173" spans="1:5" ht="25.5">
      <c r="A173" s="21"/>
      <c r="B173" s="27">
        <v>3020</v>
      </c>
      <c r="C173" s="18" t="s">
        <v>73</v>
      </c>
      <c r="D173" s="22"/>
      <c r="E173" s="15"/>
    </row>
    <row r="174" spans="1:5" ht="12.75">
      <c r="A174" s="21"/>
      <c r="B174" s="27">
        <v>4010</v>
      </c>
      <c r="C174" s="18" t="s">
        <v>37</v>
      </c>
      <c r="D174" s="22"/>
      <c r="E174" s="15"/>
    </row>
    <row r="175" spans="1:5" ht="12.75">
      <c r="A175" s="21"/>
      <c r="B175" s="27">
        <v>4040</v>
      </c>
      <c r="C175" s="18" t="s">
        <v>38</v>
      </c>
      <c r="D175" s="22"/>
      <c r="E175" s="15"/>
    </row>
    <row r="176" spans="1:5" ht="12.75">
      <c r="A176" s="21"/>
      <c r="B176" s="27">
        <v>4110</v>
      </c>
      <c r="C176" s="18" t="s">
        <v>39</v>
      </c>
      <c r="D176" s="22"/>
      <c r="E176" s="15"/>
    </row>
    <row r="177" spans="1:5" ht="12.75">
      <c r="A177" s="21"/>
      <c r="B177" s="27">
        <v>4120</v>
      </c>
      <c r="C177" s="18" t="s">
        <v>40</v>
      </c>
      <c r="D177" s="22"/>
      <c r="E177" s="15"/>
    </row>
    <row r="178" spans="1:5" ht="12.75">
      <c r="A178" s="21"/>
      <c r="B178" s="27">
        <v>4170</v>
      </c>
      <c r="C178" s="18" t="s">
        <v>42</v>
      </c>
      <c r="D178" s="22"/>
      <c r="E178" s="15"/>
    </row>
    <row r="179" spans="1:5" ht="12.75">
      <c r="A179" s="21"/>
      <c r="B179" s="27">
        <v>4210</v>
      </c>
      <c r="C179" s="18" t="s">
        <v>14</v>
      </c>
      <c r="D179" s="22"/>
      <c r="E179" s="15"/>
    </row>
    <row r="180" spans="1:5" ht="12.75">
      <c r="A180" s="21"/>
      <c r="B180" s="27">
        <v>4220</v>
      </c>
      <c r="C180" s="18" t="s">
        <v>78</v>
      </c>
      <c r="D180" s="22"/>
      <c r="E180" s="15"/>
    </row>
    <row r="181" spans="1:5" ht="12.75">
      <c r="A181" s="21"/>
      <c r="B181" s="27">
        <v>4240</v>
      </c>
      <c r="C181" s="18" t="s">
        <v>76</v>
      </c>
      <c r="D181" s="22"/>
      <c r="E181" s="15"/>
    </row>
    <row r="182" spans="1:5" ht="12.75">
      <c r="A182" s="21"/>
      <c r="B182" s="27">
        <v>4260</v>
      </c>
      <c r="C182" s="18" t="s">
        <v>43</v>
      </c>
      <c r="D182" s="22"/>
      <c r="E182" s="15"/>
    </row>
    <row r="183" spans="1:5" ht="12.75">
      <c r="A183" s="21"/>
      <c r="B183" s="27">
        <v>4270</v>
      </c>
      <c r="C183" s="18" t="s">
        <v>24</v>
      </c>
      <c r="D183" s="22"/>
      <c r="E183" s="15"/>
    </row>
    <row r="184" spans="1:5" ht="12.75">
      <c r="A184" s="21"/>
      <c r="B184" s="27">
        <v>4280</v>
      </c>
      <c r="C184" s="18" t="s">
        <v>44</v>
      </c>
      <c r="D184" s="22"/>
      <c r="E184" s="15"/>
    </row>
    <row r="185" spans="1:5" ht="12.75">
      <c r="A185" s="21"/>
      <c r="B185" s="27">
        <v>4300</v>
      </c>
      <c r="C185" s="18" t="s">
        <v>15</v>
      </c>
      <c r="D185" s="22"/>
      <c r="E185" s="15"/>
    </row>
    <row r="186" spans="1:5" ht="12.75">
      <c r="A186" s="21"/>
      <c r="B186" s="27">
        <v>4350</v>
      </c>
      <c r="C186" s="18" t="s">
        <v>45</v>
      </c>
      <c r="D186" s="22"/>
      <c r="E186" s="15"/>
    </row>
    <row r="187" spans="1:5" ht="25.5">
      <c r="A187" s="21"/>
      <c r="B187" s="27">
        <v>4370</v>
      </c>
      <c r="C187" s="18" t="s">
        <v>47</v>
      </c>
      <c r="D187" s="22"/>
      <c r="E187" s="15"/>
    </row>
    <row r="188" spans="1:5" ht="25.5">
      <c r="A188" s="21"/>
      <c r="B188" s="27">
        <v>4390</v>
      </c>
      <c r="C188" s="18" t="s">
        <v>79</v>
      </c>
      <c r="D188" s="22"/>
      <c r="E188" s="15"/>
    </row>
    <row r="189" spans="1:5" ht="12.75">
      <c r="A189" s="21"/>
      <c r="B189" s="27">
        <v>4410</v>
      </c>
      <c r="C189" s="18" t="s">
        <v>48</v>
      </c>
      <c r="D189" s="22"/>
      <c r="E189" s="15"/>
    </row>
    <row r="190" spans="1:5" ht="12.75">
      <c r="A190" s="21"/>
      <c r="B190" s="27">
        <v>4430</v>
      </c>
      <c r="C190" s="18" t="s">
        <v>16</v>
      </c>
      <c r="D190" s="22"/>
      <c r="E190" s="15"/>
    </row>
    <row r="191" spans="1:5" ht="25.5">
      <c r="A191" s="21"/>
      <c r="B191" s="27">
        <v>4440</v>
      </c>
      <c r="C191" s="18" t="s">
        <v>50</v>
      </c>
      <c r="D191" s="22"/>
      <c r="E191" s="15"/>
    </row>
    <row r="192" spans="1:5" ht="25.5">
      <c r="A192" s="21"/>
      <c r="B192" s="27">
        <v>4740</v>
      </c>
      <c r="C192" s="18" t="s">
        <v>52</v>
      </c>
      <c r="D192" s="22"/>
      <c r="E192" s="15"/>
    </row>
    <row r="193" spans="1:5" ht="25.5">
      <c r="A193" s="21"/>
      <c r="B193" s="27">
        <v>4750</v>
      </c>
      <c r="C193" s="18" t="s">
        <v>53</v>
      </c>
      <c r="D193" s="22"/>
      <c r="E193" s="15"/>
    </row>
    <row r="194" spans="1:5" ht="12.75">
      <c r="A194" s="21"/>
      <c r="B194" s="27">
        <v>6050</v>
      </c>
      <c r="C194" s="18" t="s">
        <v>26</v>
      </c>
      <c r="D194" s="22"/>
      <c r="E194" s="15"/>
    </row>
    <row r="195" spans="1:5" ht="25.5">
      <c r="A195" s="21"/>
      <c r="B195" s="27">
        <v>6060</v>
      </c>
      <c r="C195" s="18" t="s">
        <v>61</v>
      </c>
      <c r="D195" s="22"/>
      <c r="E195" s="15"/>
    </row>
    <row r="196" spans="1:5" ht="12.75">
      <c r="A196" s="31">
        <v>80110</v>
      </c>
      <c r="B196" s="26"/>
      <c r="C196" s="19" t="s">
        <v>80</v>
      </c>
      <c r="D196" s="20">
        <f>SUM(D197:D217)</f>
        <v>0</v>
      </c>
      <c r="E196" s="15"/>
    </row>
    <row r="197" spans="1:5" ht="25.5">
      <c r="A197" s="21"/>
      <c r="B197" s="27">
        <v>3020</v>
      </c>
      <c r="C197" s="18" t="s">
        <v>73</v>
      </c>
      <c r="D197" s="22"/>
      <c r="E197" s="15"/>
    </row>
    <row r="198" spans="1:5" ht="12.75">
      <c r="A198" s="21"/>
      <c r="B198" s="27">
        <v>4010</v>
      </c>
      <c r="C198" s="18" t="s">
        <v>37</v>
      </c>
      <c r="D198" s="22"/>
      <c r="E198" s="15"/>
    </row>
    <row r="199" spans="1:5" ht="12.75">
      <c r="A199" s="21"/>
      <c r="B199" s="27">
        <v>4040</v>
      </c>
      <c r="C199" s="18" t="s">
        <v>38</v>
      </c>
      <c r="D199" s="22"/>
      <c r="E199" s="15"/>
    </row>
    <row r="200" spans="1:5" ht="12.75">
      <c r="A200" s="21"/>
      <c r="B200" s="27">
        <v>4110</v>
      </c>
      <c r="C200" s="18" t="s">
        <v>39</v>
      </c>
      <c r="D200" s="22"/>
      <c r="E200" s="15"/>
    </row>
    <row r="201" spans="1:5" ht="12.75">
      <c r="A201" s="21"/>
      <c r="B201" s="27">
        <v>4120</v>
      </c>
      <c r="C201" s="18" t="s">
        <v>40</v>
      </c>
      <c r="D201" s="22"/>
      <c r="E201" s="15"/>
    </row>
    <row r="202" spans="1:5" ht="12.75">
      <c r="A202" s="21"/>
      <c r="B202" s="27">
        <v>4170</v>
      </c>
      <c r="C202" s="18" t="s">
        <v>42</v>
      </c>
      <c r="D202" s="22"/>
      <c r="E202" s="15"/>
    </row>
    <row r="203" spans="1:5" ht="12.75">
      <c r="A203" s="21"/>
      <c r="B203" s="27">
        <v>4210</v>
      </c>
      <c r="C203" s="18" t="s">
        <v>14</v>
      </c>
      <c r="D203" s="22"/>
      <c r="E203" s="15"/>
    </row>
    <row r="204" spans="1:5" ht="12.75">
      <c r="A204" s="21"/>
      <c r="B204" s="27">
        <v>4240</v>
      </c>
      <c r="C204" s="18" t="s">
        <v>76</v>
      </c>
      <c r="D204" s="22"/>
      <c r="E204" s="15"/>
    </row>
    <row r="205" spans="1:5" ht="12.75">
      <c r="A205" s="21"/>
      <c r="B205" s="27">
        <v>4260</v>
      </c>
      <c r="C205" s="18" t="s">
        <v>43</v>
      </c>
      <c r="D205" s="22"/>
      <c r="E205" s="15"/>
    </row>
    <row r="206" spans="1:5" ht="12.75">
      <c r="A206" s="21"/>
      <c r="B206" s="27">
        <v>4270</v>
      </c>
      <c r="C206" s="18" t="s">
        <v>24</v>
      </c>
      <c r="D206" s="22"/>
      <c r="E206" s="15"/>
    </row>
    <row r="207" spans="1:5" ht="12.75">
      <c r="A207" s="21"/>
      <c r="B207" s="27">
        <v>4280</v>
      </c>
      <c r="C207" s="18" t="s">
        <v>44</v>
      </c>
      <c r="D207" s="22"/>
      <c r="E207" s="15"/>
    </row>
    <row r="208" spans="1:5" ht="12.75">
      <c r="A208" s="21"/>
      <c r="B208" s="27">
        <v>4300</v>
      </c>
      <c r="C208" s="18" t="s">
        <v>15</v>
      </c>
      <c r="D208" s="22"/>
      <c r="E208" s="15"/>
    </row>
    <row r="209" spans="1:5" ht="12.75">
      <c r="A209" s="21"/>
      <c r="B209" s="27">
        <v>4350</v>
      </c>
      <c r="C209" s="18" t="s">
        <v>45</v>
      </c>
      <c r="D209" s="22"/>
      <c r="E209" s="15"/>
    </row>
    <row r="210" spans="1:5" ht="25.5">
      <c r="A210" s="21"/>
      <c r="B210" s="27">
        <v>4360</v>
      </c>
      <c r="C210" s="18" t="s">
        <v>46</v>
      </c>
      <c r="D210" s="22"/>
      <c r="E210" s="15"/>
    </row>
    <row r="211" spans="1:5" ht="25.5">
      <c r="A211" s="21"/>
      <c r="B211" s="27">
        <v>4370</v>
      </c>
      <c r="C211" s="18" t="s">
        <v>47</v>
      </c>
      <c r="D211" s="22"/>
      <c r="E211" s="15"/>
    </row>
    <row r="212" spans="1:5" ht="12.75">
      <c r="A212" s="21"/>
      <c r="B212" s="27">
        <v>4410</v>
      </c>
      <c r="C212" s="18" t="s">
        <v>48</v>
      </c>
      <c r="D212" s="22"/>
      <c r="E212" s="15"/>
    </row>
    <row r="213" spans="1:5" ht="12.75">
      <c r="A213" s="21"/>
      <c r="B213" s="27">
        <v>4430</v>
      </c>
      <c r="C213" s="18" t="s">
        <v>16</v>
      </c>
      <c r="D213" s="22"/>
      <c r="E213" s="15"/>
    </row>
    <row r="214" spans="1:5" ht="25.5">
      <c r="A214" s="21"/>
      <c r="B214" s="27">
        <v>4440</v>
      </c>
      <c r="C214" s="18" t="s">
        <v>50</v>
      </c>
      <c r="D214" s="22"/>
      <c r="E214" s="15"/>
    </row>
    <row r="215" spans="1:5" ht="25.5">
      <c r="A215" s="21"/>
      <c r="B215" s="27">
        <v>4740</v>
      </c>
      <c r="C215" s="18" t="s">
        <v>52</v>
      </c>
      <c r="D215" s="22"/>
      <c r="E215" s="15"/>
    </row>
    <row r="216" spans="1:5" ht="25.5">
      <c r="A216" s="21"/>
      <c r="B216" s="27">
        <v>4750</v>
      </c>
      <c r="C216" s="18" t="s">
        <v>53</v>
      </c>
      <c r="D216" s="22"/>
      <c r="E216" s="15"/>
    </row>
    <row r="217" spans="1:5" ht="25.5">
      <c r="A217" s="21"/>
      <c r="B217" s="27">
        <v>6060</v>
      </c>
      <c r="C217" s="18" t="s">
        <v>61</v>
      </c>
      <c r="D217" s="22"/>
      <c r="E217" s="15"/>
    </row>
    <row r="218" spans="1:5" ht="12.75">
      <c r="A218" s="31">
        <v>80113</v>
      </c>
      <c r="B218" s="26"/>
      <c r="C218" s="19" t="s">
        <v>81</v>
      </c>
      <c r="D218" s="20">
        <f>SUM(D219:D231)</f>
        <v>0</v>
      </c>
      <c r="E218" s="15"/>
    </row>
    <row r="219" spans="1:5" ht="25.5">
      <c r="A219" s="31"/>
      <c r="B219" s="27">
        <v>3020</v>
      </c>
      <c r="C219" s="18" t="s">
        <v>73</v>
      </c>
      <c r="D219" s="22"/>
      <c r="E219" s="15"/>
    </row>
    <row r="220" spans="1:5" ht="12.75">
      <c r="A220" s="21"/>
      <c r="B220" s="27">
        <v>4010</v>
      </c>
      <c r="C220" s="18" t="s">
        <v>37</v>
      </c>
      <c r="D220" s="22"/>
      <c r="E220" s="15"/>
    </row>
    <row r="221" spans="1:5" ht="12.75">
      <c r="A221" s="21"/>
      <c r="B221" s="27">
        <v>4040</v>
      </c>
      <c r="C221" s="18" t="s">
        <v>38</v>
      </c>
      <c r="D221" s="22"/>
      <c r="E221" s="15"/>
    </row>
    <row r="222" spans="1:5" ht="12.75">
      <c r="A222" s="21"/>
      <c r="B222" s="27">
        <v>4110</v>
      </c>
      <c r="C222" s="18" t="s">
        <v>39</v>
      </c>
      <c r="D222" s="22"/>
      <c r="E222" s="15"/>
    </row>
    <row r="223" spans="1:5" ht="12.75">
      <c r="A223" s="21"/>
      <c r="B223" s="27">
        <v>4120</v>
      </c>
      <c r="C223" s="18" t="s">
        <v>40</v>
      </c>
      <c r="D223" s="22"/>
      <c r="E223" s="15"/>
    </row>
    <row r="224" spans="1:5" ht="12.75">
      <c r="A224" s="21"/>
      <c r="B224" s="27">
        <v>4210</v>
      </c>
      <c r="C224" s="18" t="s">
        <v>14</v>
      </c>
      <c r="D224" s="22"/>
      <c r="E224" s="15"/>
    </row>
    <row r="225" spans="1:5" ht="12.75">
      <c r="A225" s="21"/>
      <c r="B225" s="27">
        <v>4270</v>
      </c>
      <c r="C225" s="18" t="s">
        <v>24</v>
      </c>
      <c r="D225" s="22"/>
      <c r="E225" s="15"/>
    </row>
    <row r="226" spans="1:5" ht="12.75">
      <c r="A226" s="21"/>
      <c r="B226" s="27">
        <v>4280</v>
      </c>
      <c r="C226" s="18" t="s">
        <v>44</v>
      </c>
      <c r="D226" s="22"/>
      <c r="E226" s="15"/>
    </row>
    <row r="227" spans="1:5" ht="12.75">
      <c r="A227" s="21"/>
      <c r="B227" s="27">
        <v>4300</v>
      </c>
      <c r="C227" s="18" t="s">
        <v>15</v>
      </c>
      <c r="D227" s="22"/>
      <c r="E227" s="15"/>
    </row>
    <row r="228" spans="1:5" ht="25.5">
      <c r="A228" s="21"/>
      <c r="B228" s="27">
        <v>4360</v>
      </c>
      <c r="C228" s="18" t="s">
        <v>46</v>
      </c>
      <c r="D228" s="22"/>
      <c r="E228" s="15"/>
    </row>
    <row r="229" spans="1:5" ht="12.75">
      <c r="A229" s="21"/>
      <c r="B229" s="27">
        <v>4410</v>
      </c>
      <c r="C229" s="27" t="s">
        <v>48</v>
      </c>
      <c r="D229" s="22"/>
      <c r="E229" s="15"/>
    </row>
    <row r="230" spans="1:5" ht="12.75">
      <c r="A230" s="21"/>
      <c r="B230" s="27">
        <v>4430</v>
      </c>
      <c r="C230" s="18" t="s">
        <v>16</v>
      </c>
      <c r="D230" s="22"/>
      <c r="E230" s="15"/>
    </row>
    <row r="231" spans="1:5" ht="25.5">
      <c r="A231" s="21"/>
      <c r="B231" s="27">
        <v>4440</v>
      </c>
      <c r="C231" s="18" t="s">
        <v>50</v>
      </c>
      <c r="D231" s="22"/>
      <c r="E231" s="15"/>
    </row>
    <row r="232" spans="1:5" ht="25.5">
      <c r="A232" s="31">
        <v>80114</v>
      </c>
      <c r="B232" s="26"/>
      <c r="C232" s="19" t="s">
        <v>82</v>
      </c>
      <c r="D232" s="20">
        <f>SUM(D233:D251)</f>
        <v>0</v>
      </c>
      <c r="E232" s="15"/>
    </row>
    <row r="233" spans="1:5" ht="25.5">
      <c r="A233" s="31"/>
      <c r="B233" s="27">
        <v>3020</v>
      </c>
      <c r="C233" s="18" t="s">
        <v>73</v>
      </c>
      <c r="D233" s="22"/>
      <c r="E233" s="15"/>
    </row>
    <row r="234" spans="1:5" ht="12.75">
      <c r="A234" s="21"/>
      <c r="B234" s="27">
        <v>4010</v>
      </c>
      <c r="C234" s="18" t="s">
        <v>37</v>
      </c>
      <c r="D234" s="22"/>
      <c r="E234" s="15"/>
    </row>
    <row r="235" spans="1:5" ht="12.75">
      <c r="A235" s="21"/>
      <c r="B235" s="27">
        <v>4040</v>
      </c>
      <c r="C235" s="18" t="s">
        <v>38</v>
      </c>
      <c r="D235" s="22"/>
      <c r="E235" s="15"/>
    </row>
    <row r="236" spans="1:5" ht="12.75">
      <c r="A236" s="21"/>
      <c r="B236" s="27">
        <v>4110</v>
      </c>
      <c r="C236" s="18" t="s">
        <v>39</v>
      </c>
      <c r="D236" s="22"/>
      <c r="E236" s="15"/>
    </row>
    <row r="237" spans="1:5" ht="12.75">
      <c r="A237" s="21"/>
      <c r="B237" s="27">
        <v>4120</v>
      </c>
      <c r="C237" s="18" t="s">
        <v>40</v>
      </c>
      <c r="D237" s="22"/>
      <c r="E237" s="15"/>
    </row>
    <row r="238" spans="1:5" ht="12.75">
      <c r="A238" s="21"/>
      <c r="B238" s="27">
        <v>4170</v>
      </c>
      <c r="C238" s="18" t="s">
        <v>42</v>
      </c>
      <c r="D238" s="22"/>
      <c r="E238" s="15"/>
    </row>
    <row r="239" spans="1:5" ht="12.75">
      <c r="A239" s="21"/>
      <c r="B239" s="27">
        <v>4210</v>
      </c>
      <c r="C239" s="18" t="s">
        <v>14</v>
      </c>
      <c r="D239" s="22"/>
      <c r="E239" s="15"/>
    </row>
    <row r="240" spans="1:5" ht="12.75">
      <c r="A240" s="21"/>
      <c r="B240" s="27">
        <v>4260</v>
      </c>
      <c r="C240" s="18" t="s">
        <v>43</v>
      </c>
      <c r="D240" s="22"/>
      <c r="E240" s="15"/>
    </row>
    <row r="241" spans="1:5" ht="12.75">
      <c r="A241" s="21"/>
      <c r="B241" s="27">
        <v>4270</v>
      </c>
      <c r="C241" s="18" t="s">
        <v>24</v>
      </c>
      <c r="D241" s="22"/>
      <c r="E241" s="15"/>
    </row>
    <row r="242" spans="1:5" ht="12.75">
      <c r="A242" s="21"/>
      <c r="B242" s="27">
        <v>4280</v>
      </c>
      <c r="C242" s="18" t="s">
        <v>44</v>
      </c>
      <c r="D242" s="22"/>
      <c r="E242" s="15"/>
    </row>
    <row r="243" spans="1:5" ht="12.75">
      <c r="A243" s="21"/>
      <c r="B243" s="27">
        <v>4300</v>
      </c>
      <c r="C243" s="18" t="s">
        <v>15</v>
      </c>
      <c r="D243" s="22"/>
      <c r="E243" s="15"/>
    </row>
    <row r="244" spans="1:5" ht="12.75">
      <c r="A244" s="21"/>
      <c r="B244" s="27">
        <v>4350</v>
      </c>
      <c r="C244" s="18" t="s">
        <v>45</v>
      </c>
      <c r="D244" s="22"/>
      <c r="E244" s="15"/>
    </row>
    <row r="245" spans="1:5" ht="25.5">
      <c r="A245" s="21"/>
      <c r="B245" s="27">
        <v>4370</v>
      </c>
      <c r="C245" s="18" t="s">
        <v>47</v>
      </c>
      <c r="D245" s="22"/>
      <c r="E245" s="15"/>
    </row>
    <row r="246" spans="1:5" ht="12.75">
      <c r="A246" s="21"/>
      <c r="B246" s="27">
        <v>4410</v>
      </c>
      <c r="C246" s="18" t="s">
        <v>48</v>
      </c>
      <c r="D246" s="22"/>
      <c r="E246" s="15"/>
    </row>
    <row r="247" spans="1:5" ht="12.75">
      <c r="A247" s="21"/>
      <c r="B247" s="27">
        <v>4430</v>
      </c>
      <c r="C247" s="18" t="s">
        <v>16</v>
      </c>
      <c r="D247" s="22"/>
      <c r="E247" s="15"/>
    </row>
    <row r="248" spans="1:5" ht="25.5">
      <c r="A248" s="21"/>
      <c r="B248" s="27">
        <v>4440</v>
      </c>
      <c r="C248" s="18" t="s">
        <v>50</v>
      </c>
      <c r="D248" s="22"/>
      <c r="E248" s="15"/>
    </row>
    <row r="249" spans="1:5" ht="25.5">
      <c r="A249" s="21"/>
      <c r="B249" s="27">
        <v>4740</v>
      </c>
      <c r="C249" s="18" t="s">
        <v>52</v>
      </c>
      <c r="D249" s="22"/>
      <c r="E249" s="15"/>
    </row>
    <row r="250" spans="1:5" ht="25.5">
      <c r="A250" s="21"/>
      <c r="B250" s="27">
        <v>4750</v>
      </c>
      <c r="C250" s="18" t="s">
        <v>53</v>
      </c>
      <c r="D250" s="22"/>
      <c r="E250" s="15"/>
    </row>
    <row r="251" spans="1:5" ht="25.5">
      <c r="A251" s="21"/>
      <c r="B251" s="27">
        <v>6060</v>
      </c>
      <c r="C251" s="18" t="s">
        <v>61</v>
      </c>
      <c r="D251" s="22"/>
      <c r="E251" s="15"/>
    </row>
    <row r="252" spans="1:5" ht="12.75">
      <c r="A252" s="31">
        <v>80146</v>
      </c>
      <c r="B252" s="26"/>
      <c r="C252" s="19" t="s">
        <v>83</v>
      </c>
      <c r="D252" s="20">
        <f>SUM(D253:D255)</f>
        <v>0</v>
      </c>
      <c r="E252" s="15"/>
    </row>
    <row r="253" spans="1:5" ht="12.75">
      <c r="A253" s="21"/>
      <c r="B253" s="27">
        <v>4210</v>
      </c>
      <c r="C253" s="18" t="s">
        <v>14</v>
      </c>
      <c r="D253" s="22"/>
      <c r="E253" s="15"/>
    </row>
    <row r="254" spans="1:5" ht="12.75">
      <c r="A254" s="21"/>
      <c r="B254" s="27">
        <v>4300</v>
      </c>
      <c r="C254" s="18" t="s">
        <v>15</v>
      </c>
      <c r="D254" s="22"/>
      <c r="E254" s="15"/>
    </row>
    <row r="255" spans="1:5" ht="12.75">
      <c r="A255" s="21"/>
      <c r="B255" s="27">
        <v>4410</v>
      </c>
      <c r="C255" s="18" t="s">
        <v>48</v>
      </c>
      <c r="D255" s="22"/>
      <c r="E255" s="15"/>
    </row>
    <row r="256" spans="1:5" ht="12.75">
      <c r="A256" s="31">
        <v>80148</v>
      </c>
      <c r="B256" s="26"/>
      <c r="C256" s="19" t="s">
        <v>84</v>
      </c>
      <c r="D256" s="20">
        <f>SUM(D257:D271)</f>
        <v>0</v>
      </c>
      <c r="E256" s="15"/>
    </row>
    <row r="257" spans="1:5" ht="25.5">
      <c r="A257" s="31"/>
      <c r="B257" s="27">
        <v>3020</v>
      </c>
      <c r="C257" s="18" t="s">
        <v>73</v>
      </c>
      <c r="D257" s="22"/>
      <c r="E257" s="15"/>
    </row>
    <row r="258" spans="1:5" ht="12.75">
      <c r="A258" s="31"/>
      <c r="B258" s="27">
        <v>4010</v>
      </c>
      <c r="C258" s="18" t="s">
        <v>37</v>
      </c>
      <c r="D258" s="22"/>
      <c r="E258" s="15"/>
    </row>
    <row r="259" spans="1:5" ht="12.75">
      <c r="A259" s="31"/>
      <c r="B259" s="27">
        <v>4040</v>
      </c>
      <c r="C259" s="18" t="s">
        <v>38</v>
      </c>
      <c r="D259" s="22"/>
      <c r="E259" s="15"/>
    </row>
    <row r="260" spans="1:5" ht="12.75">
      <c r="A260" s="31"/>
      <c r="B260" s="27">
        <v>4110</v>
      </c>
      <c r="C260" s="18" t="s">
        <v>39</v>
      </c>
      <c r="D260" s="22"/>
      <c r="E260" s="15"/>
    </row>
    <row r="261" spans="1:5" ht="12.75">
      <c r="A261" s="31"/>
      <c r="B261" s="27">
        <v>4120</v>
      </c>
      <c r="C261" s="18" t="s">
        <v>40</v>
      </c>
      <c r="D261" s="22"/>
      <c r="E261" s="15"/>
    </row>
    <row r="262" spans="1:5" ht="12.75">
      <c r="A262" s="31"/>
      <c r="B262" s="27">
        <v>4210</v>
      </c>
      <c r="C262" s="18" t="s">
        <v>14</v>
      </c>
      <c r="D262" s="22"/>
      <c r="E262" s="15"/>
    </row>
    <row r="263" spans="1:5" ht="12.75">
      <c r="A263" s="31"/>
      <c r="B263" s="27">
        <v>4220</v>
      </c>
      <c r="C263" s="18" t="s">
        <v>78</v>
      </c>
      <c r="D263" s="22"/>
      <c r="E263" s="15"/>
    </row>
    <row r="264" spans="1:5" ht="12.75">
      <c r="A264" s="31"/>
      <c r="B264" s="27">
        <v>4270</v>
      </c>
      <c r="C264" s="18" t="s">
        <v>24</v>
      </c>
      <c r="D264" s="22"/>
      <c r="E264" s="15"/>
    </row>
    <row r="265" spans="1:5" ht="12.75">
      <c r="A265" s="31"/>
      <c r="B265" s="27">
        <v>4280</v>
      </c>
      <c r="C265" s="18" t="s">
        <v>44</v>
      </c>
      <c r="D265" s="22"/>
      <c r="E265" s="15"/>
    </row>
    <row r="266" spans="1:5" ht="12.75">
      <c r="A266" s="31"/>
      <c r="B266" s="27">
        <v>4300</v>
      </c>
      <c r="C266" s="18" t="s">
        <v>15</v>
      </c>
      <c r="D266" s="22"/>
      <c r="E266" s="15"/>
    </row>
    <row r="267" spans="1:5" ht="12.75">
      <c r="A267" s="31"/>
      <c r="B267" s="27">
        <v>4410</v>
      </c>
      <c r="C267" s="18" t="s">
        <v>48</v>
      </c>
      <c r="D267" s="22"/>
      <c r="E267" s="15"/>
    </row>
    <row r="268" spans="1:5" ht="12.75">
      <c r="A268" s="31"/>
      <c r="B268" s="27">
        <v>4430</v>
      </c>
      <c r="C268" s="18" t="s">
        <v>16</v>
      </c>
      <c r="D268" s="22"/>
      <c r="E268" s="15"/>
    </row>
    <row r="269" spans="1:5" ht="25.5">
      <c r="A269" s="31"/>
      <c r="B269" s="27">
        <v>4440</v>
      </c>
      <c r="C269" s="18" t="s">
        <v>50</v>
      </c>
      <c r="D269" s="22"/>
      <c r="E269" s="15"/>
    </row>
    <row r="270" spans="1:5" ht="25.5">
      <c r="A270" s="31"/>
      <c r="B270" s="27">
        <v>4740</v>
      </c>
      <c r="C270" s="18" t="s">
        <v>52</v>
      </c>
      <c r="D270" s="22"/>
      <c r="E270" s="15"/>
    </row>
    <row r="271" spans="1:5" ht="25.5">
      <c r="A271" s="31"/>
      <c r="B271" s="27">
        <v>4750</v>
      </c>
      <c r="C271" s="18" t="s">
        <v>53</v>
      </c>
      <c r="D271" s="22"/>
      <c r="E271" s="15"/>
    </row>
    <row r="272" spans="1:5" ht="12.75">
      <c r="A272" s="31">
        <v>80195</v>
      </c>
      <c r="B272" s="26"/>
      <c r="C272" s="19" t="s">
        <v>13</v>
      </c>
      <c r="D272" s="20">
        <f>SUM(D273:D274)</f>
        <v>0</v>
      </c>
      <c r="E272" s="15"/>
    </row>
    <row r="273" spans="1:5" ht="12.75">
      <c r="A273" s="31"/>
      <c r="B273" s="27">
        <v>4300</v>
      </c>
      <c r="C273" s="27" t="s">
        <v>15</v>
      </c>
      <c r="D273" s="22"/>
      <c r="E273" s="15"/>
    </row>
    <row r="274" spans="1:5" ht="26.25" thickBot="1">
      <c r="A274" s="66"/>
      <c r="B274" s="56">
        <v>4440</v>
      </c>
      <c r="C274" s="57" t="s">
        <v>50</v>
      </c>
      <c r="D274" s="58"/>
      <c r="E274" s="15"/>
    </row>
    <row r="275" spans="1:5" ht="13.5" thickBot="1">
      <c r="A275" s="62">
        <v>851</v>
      </c>
      <c r="B275" s="63"/>
      <c r="C275" s="64" t="s">
        <v>85</v>
      </c>
      <c r="D275" s="65">
        <f>SUM(D276,D279)</f>
        <v>31626</v>
      </c>
      <c r="E275" s="15"/>
    </row>
    <row r="276" spans="1:5" ht="12.75">
      <c r="A276" s="59">
        <v>85153</v>
      </c>
      <c r="B276" s="60"/>
      <c r="C276" s="60" t="s">
        <v>86</v>
      </c>
      <c r="D276" s="28">
        <f>SUM(D277:D278)</f>
        <v>0</v>
      </c>
      <c r="E276" s="15"/>
    </row>
    <row r="277" spans="1:5" ht="12.75">
      <c r="A277" s="21"/>
      <c r="B277" s="27">
        <v>4210</v>
      </c>
      <c r="C277" s="27" t="s">
        <v>14</v>
      </c>
      <c r="D277" s="22"/>
      <c r="E277" s="15"/>
    </row>
    <row r="278" spans="1:5" ht="12.75">
      <c r="A278" s="21"/>
      <c r="B278" s="27">
        <v>4300</v>
      </c>
      <c r="C278" s="27" t="s">
        <v>15</v>
      </c>
      <c r="D278" s="22"/>
      <c r="E278" s="15"/>
    </row>
    <row r="279" spans="1:5" ht="12.75">
      <c r="A279" s="31">
        <v>85154</v>
      </c>
      <c r="B279" s="26"/>
      <c r="C279" s="19" t="s">
        <v>87</v>
      </c>
      <c r="D279" s="20">
        <f>SUM(D280:D290)</f>
        <v>31626</v>
      </c>
      <c r="E279" s="15"/>
    </row>
    <row r="280" spans="1:5" ht="38.25">
      <c r="A280" s="31"/>
      <c r="B280" s="27">
        <v>2710</v>
      </c>
      <c r="C280" s="18" t="s">
        <v>22</v>
      </c>
      <c r="D280" s="22">
        <v>7626</v>
      </c>
      <c r="E280" s="15"/>
    </row>
    <row r="281" spans="1:5" ht="38.25">
      <c r="A281" s="31"/>
      <c r="B281" s="27">
        <v>2820</v>
      </c>
      <c r="C281" s="18" t="s">
        <v>59</v>
      </c>
      <c r="D281" s="22">
        <v>24000</v>
      </c>
      <c r="E281" s="15"/>
    </row>
    <row r="282" spans="1:5" ht="12.75">
      <c r="A282" s="31"/>
      <c r="B282" s="27">
        <v>4110</v>
      </c>
      <c r="C282" s="18" t="s">
        <v>39</v>
      </c>
      <c r="D282" s="22"/>
      <c r="E282" s="15"/>
    </row>
    <row r="283" spans="1:5" ht="12.75">
      <c r="A283" s="31"/>
      <c r="B283" s="27">
        <v>4120</v>
      </c>
      <c r="C283" s="18" t="s">
        <v>40</v>
      </c>
      <c r="D283" s="22"/>
      <c r="E283" s="15"/>
    </row>
    <row r="284" spans="1:5" ht="12.75">
      <c r="A284" s="31"/>
      <c r="B284" s="27">
        <v>4170</v>
      </c>
      <c r="C284" s="18" t="s">
        <v>42</v>
      </c>
      <c r="D284" s="22"/>
      <c r="E284" s="15"/>
    </row>
    <row r="285" spans="1:5" ht="12.75">
      <c r="A285" s="31"/>
      <c r="B285" s="27">
        <v>4210</v>
      </c>
      <c r="C285" s="18" t="s">
        <v>14</v>
      </c>
      <c r="D285" s="22"/>
      <c r="E285" s="15"/>
    </row>
    <row r="286" spans="1:5" ht="12.75">
      <c r="A286" s="31"/>
      <c r="B286" s="27">
        <v>4260</v>
      </c>
      <c r="C286" s="18" t="s">
        <v>43</v>
      </c>
      <c r="D286" s="22"/>
      <c r="E286" s="15"/>
    </row>
    <row r="287" spans="1:5" ht="12.75">
      <c r="A287" s="31"/>
      <c r="B287" s="27">
        <v>4300</v>
      </c>
      <c r="C287" s="18" t="s">
        <v>15</v>
      </c>
      <c r="D287" s="22"/>
      <c r="E287" s="15"/>
    </row>
    <row r="288" spans="1:5" ht="25.5">
      <c r="A288" s="31"/>
      <c r="B288" s="27">
        <v>4370</v>
      </c>
      <c r="C288" s="18" t="s">
        <v>47</v>
      </c>
      <c r="D288" s="22"/>
      <c r="E288" s="15"/>
    </row>
    <row r="289" spans="1:5" ht="12.75">
      <c r="A289" s="31"/>
      <c r="B289" s="27">
        <v>4410</v>
      </c>
      <c r="C289" s="18" t="s">
        <v>48</v>
      </c>
      <c r="D289" s="22"/>
      <c r="E289" s="15"/>
    </row>
    <row r="290" spans="1:5" ht="26.25" thickBot="1">
      <c r="A290" s="67"/>
      <c r="B290" s="56">
        <v>4740</v>
      </c>
      <c r="C290" s="57" t="s">
        <v>52</v>
      </c>
      <c r="D290" s="58"/>
      <c r="E290" s="15"/>
    </row>
    <row r="291" spans="1:5" ht="13.5" thickBot="1">
      <c r="A291" s="62">
        <v>852</v>
      </c>
      <c r="B291" s="63"/>
      <c r="C291" s="64" t="s">
        <v>88</v>
      </c>
      <c r="D291" s="65">
        <f>SUM(D292,D294,D296,D298,D317)</f>
        <v>3000</v>
      </c>
      <c r="E291" s="15"/>
    </row>
    <row r="292" spans="1:5" ht="12.75">
      <c r="A292" s="59">
        <v>85202</v>
      </c>
      <c r="B292" s="60"/>
      <c r="C292" s="61" t="s">
        <v>89</v>
      </c>
      <c r="D292" s="28">
        <f>SUM(D293)</f>
        <v>0</v>
      </c>
      <c r="E292" s="15"/>
    </row>
    <row r="293" spans="1:5" ht="38.25">
      <c r="A293" s="31"/>
      <c r="B293" s="27">
        <v>4330</v>
      </c>
      <c r="C293" s="18" t="s">
        <v>122</v>
      </c>
      <c r="D293" s="22"/>
      <c r="E293" s="77"/>
    </row>
    <row r="294" spans="1:5" ht="25.5">
      <c r="A294" s="31">
        <v>85214</v>
      </c>
      <c r="B294" s="26"/>
      <c r="C294" s="19" t="s">
        <v>90</v>
      </c>
      <c r="D294" s="20">
        <f>SUM(D295:D295)</f>
        <v>0</v>
      </c>
      <c r="E294" s="78"/>
    </row>
    <row r="295" spans="1:5" ht="12.75">
      <c r="A295" s="21"/>
      <c r="B295" s="27">
        <v>3110</v>
      </c>
      <c r="C295" s="18" t="s">
        <v>91</v>
      </c>
      <c r="D295" s="22"/>
      <c r="E295" s="77"/>
    </row>
    <row r="296" spans="1:5" ht="12.75">
      <c r="A296" s="31">
        <v>85215</v>
      </c>
      <c r="B296" s="26"/>
      <c r="C296" s="19" t="s">
        <v>92</v>
      </c>
      <c r="D296" s="20">
        <f>SUM(D297)</f>
        <v>0</v>
      </c>
      <c r="E296" s="77"/>
    </row>
    <row r="297" spans="1:5" ht="12.75">
      <c r="A297" s="21"/>
      <c r="B297" s="27">
        <v>3110</v>
      </c>
      <c r="C297" s="18" t="s">
        <v>91</v>
      </c>
      <c r="D297" s="22"/>
      <c r="E297" s="78"/>
    </row>
    <row r="298" spans="1:5" ht="12.75">
      <c r="A298" s="31">
        <v>85219</v>
      </c>
      <c r="B298" s="26"/>
      <c r="C298" s="19" t="s">
        <v>93</v>
      </c>
      <c r="D298" s="20">
        <f>SUM(D299:D316)</f>
        <v>0</v>
      </c>
      <c r="E298" s="77"/>
    </row>
    <row r="299" spans="1:5" ht="25.5">
      <c r="A299" s="21"/>
      <c r="B299" s="27">
        <v>3020</v>
      </c>
      <c r="C299" s="18" t="s">
        <v>73</v>
      </c>
      <c r="D299" s="22"/>
      <c r="E299" s="78"/>
    </row>
    <row r="300" spans="1:5" ht="12.75">
      <c r="A300" s="21"/>
      <c r="B300" s="27">
        <v>4010</v>
      </c>
      <c r="C300" s="18" t="s">
        <v>37</v>
      </c>
      <c r="D300" s="22"/>
      <c r="E300" s="77"/>
    </row>
    <row r="301" spans="1:5" ht="12.75">
      <c r="A301" s="21"/>
      <c r="B301" s="27">
        <v>4040</v>
      </c>
      <c r="C301" s="18" t="s">
        <v>38</v>
      </c>
      <c r="D301" s="22"/>
      <c r="E301" s="77"/>
    </row>
    <row r="302" spans="1:5" ht="12.75">
      <c r="A302" s="21"/>
      <c r="B302" s="27">
        <v>4110</v>
      </c>
      <c r="C302" s="18" t="s">
        <v>39</v>
      </c>
      <c r="D302" s="22"/>
      <c r="E302" s="77"/>
    </row>
    <row r="303" spans="1:5" ht="12.75">
      <c r="A303" s="21"/>
      <c r="B303" s="27">
        <v>4120</v>
      </c>
      <c r="C303" s="18" t="s">
        <v>40</v>
      </c>
      <c r="D303" s="22"/>
      <c r="E303" s="77"/>
    </row>
    <row r="304" spans="1:5" ht="12.75">
      <c r="A304" s="21"/>
      <c r="B304" s="27">
        <v>4170</v>
      </c>
      <c r="C304" s="18" t="s">
        <v>42</v>
      </c>
      <c r="D304" s="22"/>
      <c r="E304" s="77"/>
    </row>
    <row r="305" spans="1:5" ht="12.75">
      <c r="A305" s="21"/>
      <c r="B305" s="27">
        <v>4210</v>
      </c>
      <c r="C305" s="18" t="s">
        <v>14</v>
      </c>
      <c r="D305" s="22"/>
      <c r="E305" s="78"/>
    </row>
    <row r="306" spans="1:5" ht="12.75">
      <c r="A306" s="21"/>
      <c r="B306" s="27">
        <v>4260</v>
      </c>
      <c r="C306" s="18" t="s">
        <v>43</v>
      </c>
      <c r="D306" s="22"/>
      <c r="E306" s="77"/>
    </row>
    <row r="307" spans="1:5" ht="12.75">
      <c r="A307" s="21"/>
      <c r="B307" s="27">
        <v>4270</v>
      </c>
      <c r="C307" s="18" t="s">
        <v>24</v>
      </c>
      <c r="D307" s="22"/>
      <c r="E307" s="77"/>
    </row>
    <row r="308" spans="1:5" ht="12.75">
      <c r="A308" s="21"/>
      <c r="B308" s="27">
        <v>4280</v>
      </c>
      <c r="C308" s="18" t="s">
        <v>44</v>
      </c>
      <c r="D308" s="22"/>
      <c r="E308" s="77"/>
    </row>
    <row r="309" spans="1:5" ht="12.75">
      <c r="A309" s="21"/>
      <c r="B309" s="27">
        <v>4300</v>
      </c>
      <c r="C309" s="18" t="s">
        <v>15</v>
      </c>
      <c r="D309" s="22"/>
      <c r="E309" s="77"/>
    </row>
    <row r="310" spans="1:5" ht="12.75">
      <c r="A310" s="21"/>
      <c r="B310" s="27">
        <v>4350</v>
      </c>
      <c r="C310" s="18" t="s">
        <v>45</v>
      </c>
      <c r="D310" s="22"/>
      <c r="E310" s="77"/>
    </row>
    <row r="311" spans="1:5" ht="25.5">
      <c r="A311" s="21"/>
      <c r="B311" s="27">
        <v>4370</v>
      </c>
      <c r="C311" s="18" t="s">
        <v>47</v>
      </c>
      <c r="D311" s="22"/>
      <c r="E311" s="15"/>
    </row>
    <row r="312" spans="1:5" ht="12.75">
      <c r="A312" s="21"/>
      <c r="B312" s="27">
        <v>4410</v>
      </c>
      <c r="C312" s="18" t="s">
        <v>48</v>
      </c>
      <c r="D312" s="22"/>
      <c r="E312" s="15"/>
    </row>
    <row r="313" spans="1:5" ht="25.5">
      <c r="A313" s="21"/>
      <c r="B313" s="27">
        <v>4440</v>
      </c>
      <c r="C313" s="18" t="s">
        <v>50</v>
      </c>
      <c r="D313" s="22"/>
      <c r="E313" s="15"/>
    </row>
    <row r="314" spans="1:5" ht="25.5">
      <c r="A314" s="21"/>
      <c r="B314" s="27">
        <v>4700</v>
      </c>
      <c r="C314" s="18" t="s">
        <v>51</v>
      </c>
      <c r="D314" s="22"/>
      <c r="E314" s="15"/>
    </row>
    <row r="315" spans="1:5" ht="25.5">
      <c r="A315" s="21"/>
      <c r="B315" s="27">
        <v>4740</v>
      </c>
      <c r="C315" s="18" t="s">
        <v>52</v>
      </c>
      <c r="D315" s="22"/>
      <c r="E315" s="15"/>
    </row>
    <row r="316" spans="1:5" ht="25.5">
      <c r="A316" s="21"/>
      <c r="B316" s="27">
        <v>4750</v>
      </c>
      <c r="C316" s="18" t="s">
        <v>53</v>
      </c>
      <c r="D316" s="22"/>
      <c r="E316" s="15"/>
    </row>
    <row r="317" spans="1:5" ht="12.75">
      <c r="A317" s="31">
        <v>85295</v>
      </c>
      <c r="B317" s="26"/>
      <c r="C317" s="19" t="s">
        <v>13</v>
      </c>
      <c r="D317" s="20">
        <f>SUM(D318:D319)</f>
        <v>3000</v>
      </c>
      <c r="E317" s="15"/>
    </row>
    <row r="318" spans="1:5" ht="33.75">
      <c r="A318" s="52"/>
      <c r="B318" s="27">
        <v>2820</v>
      </c>
      <c r="C318" s="44" t="s">
        <v>59</v>
      </c>
      <c r="D318" s="22">
        <v>3000</v>
      </c>
      <c r="E318" s="76"/>
    </row>
    <row r="319" spans="1:5" ht="13.5" thickBot="1">
      <c r="A319" s="66"/>
      <c r="B319" s="56">
        <v>3110</v>
      </c>
      <c r="C319" s="57" t="s">
        <v>91</v>
      </c>
      <c r="D319" s="58"/>
      <c r="E319" s="15"/>
    </row>
    <row r="320" spans="1:5" ht="13.5" thickBot="1">
      <c r="A320" s="62">
        <v>854</v>
      </c>
      <c r="B320" s="63"/>
      <c r="C320" s="64" t="s">
        <v>94</v>
      </c>
      <c r="D320" s="65">
        <f>SUM(D321)</f>
        <v>0</v>
      </c>
      <c r="E320" s="15"/>
    </row>
    <row r="321" spans="1:5" ht="12.75">
      <c r="A321" s="59">
        <v>85401</v>
      </c>
      <c r="B321" s="60"/>
      <c r="C321" s="61" t="s">
        <v>95</v>
      </c>
      <c r="D321" s="28">
        <f>SUM(D322:D336)</f>
        <v>0</v>
      </c>
      <c r="E321" s="15"/>
    </row>
    <row r="322" spans="1:5" ht="25.5">
      <c r="A322" s="21"/>
      <c r="B322" s="27">
        <v>3020</v>
      </c>
      <c r="C322" s="18" t="s">
        <v>73</v>
      </c>
      <c r="D322" s="22"/>
      <c r="E322" s="15"/>
    </row>
    <row r="323" spans="1:5" ht="12.75">
      <c r="A323" s="21"/>
      <c r="B323" s="27">
        <v>4010</v>
      </c>
      <c r="C323" s="18" t="s">
        <v>37</v>
      </c>
      <c r="D323" s="22"/>
      <c r="E323" s="15"/>
    </row>
    <row r="324" spans="1:5" ht="12.75">
      <c r="A324" s="21"/>
      <c r="B324" s="27">
        <v>4040</v>
      </c>
      <c r="C324" s="18" t="s">
        <v>38</v>
      </c>
      <c r="D324" s="22"/>
      <c r="E324" s="15"/>
    </row>
    <row r="325" spans="1:5" ht="12.75">
      <c r="A325" s="21"/>
      <c r="B325" s="27">
        <v>4110</v>
      </c>
      <c r="C325" s="18" t="s">
        <v>39</v>
      </c>
      <c r="D325" s="22"/>
      <c r="E325" s="15"/>
    </row>
    <row r="326" spans="1:5" ht="12.75">
      <c r="A326" s="21"/>
      <c r="B326" s="27">
        <v>4120</v>
      </c>
      <c r="C326" s="18" t="s">
        <v>40</v>
      </c>
      <c r="D326" s="22"/>
      <c r="E326" s="15"/>
    </row>
    <row r="327" spans="1:5" ht="12.75">
      <c r="A327" s="21"/>
      <c r="B327" s="27">
        <v>4170</v>
      </c>
      <c r="C327" s="18" t="s">
        <v>42</v>
      </c>
      <c r="D327" s="22"/>
      <c r="E327" s="15"/>
    </row>
    <row r="328" spans="1:5" ht="12.75">
      <c r="A328" s="21"/>
      <c r="B328" s="27">
        <v>4210</v>
      </c>
      <c r="C328" s="18" t="s">
        <v>14</v>
      </c>
      <c r="D328" s="22"/>
      <c r="E328" s="15"/>
    </row>
    <row r="329" spans="1:5" ht="12.75">
      <c r="A329" s="21"/>
      <c r="B329" s="27">
        <v>4240</v>
      </c>
      <c r="C329" s="18" t="s">
        <v>76</v>
      </c>
      <c r="D329" s="22"/>
      <c r="E329" s="15"/>
    </row>
    <row r="330" spans="1:5" ht="12.75">
      <c r="A330" s="21"/>
      <c r="B330" s="27">
        <v>4270</v>
      </c>
      <c r="C330" s="18" t="s">
        <v>24</v>
      </c>
      <c r="D330" s="22"/>
      <c r="E330" s="15"/>
    </row>
    <row r="331" spans="1:5" ht="12.75">
      <c r="A331" s="21"/>
      <c r="B331" s="27">
        <v>4280</v>
      </c>
      <c r="C331" s="18" t="s">
        <v>44</v>
      </c>
      <c r="D331" s="22"/>
      <c r="E331" s="15"/>
    </row>
    <row r="332" spans="1:5" ht="12.75">
      <c r="A332" s="21"/>
      <c r="B332" s="27">
        <v>4300</v>
      </c>
      <c r="C332" s="18" t="s">
        <v>15</v>
      </c>
      <c r="D332" s="22"/>
      <c r="E332" s="15"/>
    </row>
    <row r="333" spans="1:5" ht="12.75">
      <c r="A333" s="21"/>
      <c r="B333" s="27">
        <v>4410</v>
      </c>
      <c r="C333" s="18" t="s">
        <v>48</v>
      </c>
      <c r="D333" s="22"/>
      <c r="E333" s="15"/>
    </row>
    <row r="334" spans="1:5" ht="25.5">
      <c r="A334" s="21"/>
      <c r="B334" s="27">
        <v>4440</v>
      </c>
      <c r="C334" s="18" t="s">
        <v>50</v>
      </c>
      <c r="D334" s="22"/>
      <c r="E334" s="15"/>
    </row>
    <row r="335" spans="1:5" ht="25.5">
      <c r="A335" s="21"/>
      <c r="B335" s="27">
        <v>4740</v>
      </c>
      <c r="C335" s="18" t="s">
        <v>52</v>
      </c>
      <c r="D335" s="22"/>
      <c r="E335" s="15"/>
    </row>
    <row r="336" spans="1:5" ht="26.25" thickBot="1">
      <c r="A336" s="66"/>
      <c r="B336" s="56">
        <v>6060</v>
      </c>
      <c r="C336" s="57" t="s">
        <v>61</v>
      </c>
      <c r="D336" s="58">
        <v>0</v>
      </c>
      <c r="E336" s="15"/>
    </row>
    <row r="337" spans="1:5" ht="26.25" thickBot="1">
      <c r="A337" s="62">
        <v>900</v>
      </c>
      <c r="B337" s="63"/>
      <c r="C337" s="64" t="s">
        <v>96</v>
      </c>
      <c r="D337" s="65">
        <f>SUM(D338,D340,D343,D345,D347,D352,D354)</f>
        <v>0</v>
      </c>
      <c r="E337" s="15"/>
    </row>
    <row r="338" spans="1:5" ht="12.75">
      <c r="A338" s="59">
        <v>90001</v>
      </c>
      <c r="B338" s="60"/>
      <c r="C338" s="61" t="s">
        <v>125</v>
      </c>
      <c r="D338" s="28">
        <f>D339</f>
        <v>0</v>
      </c>
      <c r="E338" s="15"/>
    </row>
    <row r="339" spans="1:5" ht="12.75">
      <c r="A339" s="31"/>
      <c r="B339" s="27">
        <v>4260</v>
      </c>
      <c r="C339" s="18" t="s">
        <v>43</v>
      </c>
      <c r="D339" s="22"/>
      <c r="E339" s="15"/>
    </row>
    <row r="340" spans="1:5" ht="12.75">
      <c r="A340" s="31">
        <v>90002</v>
      </c>
      <c r="B340" s="26"/>
      <c r="C340" s="19" t="s">
        <v>97</v>
      </c>
      <c r="D340" s="20">
        <f>SUM(D341:D342)</f>
        <v>0</v>
      </c>
      <c r="E340" s="15"/>
    </row>
    <row r="341" spans="1:5" ht="12.75">
      <c r="A341" s="31"/>
      <c r="B341" s="27">
        <v>4300</v>
      </c>
      <c r="C341" s="18" t="s">
        <v>15</v>
      </c>
      <c r="D341" s="22"/>
      <c r="E341" s="15"/>
    </row>
    <row r="342" spans="1:5" ht="63.75">
      <c r="A342" s="21"/>
      <c r="B342" s="27">
        <v>6659</v>
      </c>
      <c r="C342" s="18" t="s">
        <v>8</v>
      </c>
      <c r="D342" s="22"/>
      <c r="E342" s="15"/>
    </row>
    <row r="343" spans="1:5" ht="12.75">
      <c r="A343" s="31">
        <v>90003</v>
      </c>
      <c r="B343" s="26"/>
      <c r="C343" s="19" t="s">
        <v>98</v>
      </c>
      <c r="D343" s="20">
        <f>SUM(D344)</f>
        <v>0</v>
      </c>
      <c r="E343" s="15"/>
    </row>
    <row r="344" spans="1:5" ht="12.75">
      <c r="A344" s="21"/>
      <c r="B344" s="27">
        <v>4300</v>
      </c>
      <c r="C344" s="18" t="s">
        <v>15</v>
      </c>
      <c r="D344" s="22"/>
      <c r="E344" s="15"/>
    </row>
    <row r="345" spans="1:5" ht="12.75">
      <c r="A345" s="31">
        <v>90004</v>
      </c>
      <c r="B345" s="26"/>
      <c r="C345" s="19" t="s">
        <v>99</v>
      </c>
      <c r="D345" s="20">
        <f>SUM(D346:D346)</f>
        <v>0</v>
      </c>
      <c r="E345" s="15"/>
    </row>
    <row r="346" spans="1:5" ht="12.75">
      <c r="A346" s="21"/>
      <c r="B346" s="27">
        <v>4300</v>
      </c>
      <c r="C346" s="18" t="s">
        <v>15</v>
      </c>
      <c r="D346" s="22"/>
      <c r="E346" s="15"/>
    </row>
    <row r="347" spans="1:5" ht="12.75">
      <c r="A347" s="31">
        <v>90015</v>
      </c>
      <c r="B347" s="26"/>
      <c r="C347" s="19" t="s">
        <v>100</v>
      </c>
      <c r="D347" s="20">
        <f>SUM(D348:D350)</f>
        <v>0</v>
      </c>
      <c r="E347" s="15"/>
    </row>
    <row r="348" spans="1:5" ht="12.75">
      <c r="A348" s="21"/>
      <c r="B348" s="27">
        <v>4260</v>
      </c>
      <c r="C348" s="18" t="s">
        <v>43</v>
      </c>
      <c r="D348" s="22"/>
      <c r="E348" s="15"/>
    </row>
    <row r="349" spans="1:5" ht="12.75">
      <c r="A349" s="21"/>
      <c r="B349" s="27">
        <v>4300</v>
      </c>
      <c r="C349" s="18" t="s">
        <v>15</v>
      </c>
      <c r="D349" s="22"/>
      <c r="E349" s="15"/>
    </row>
    <row r="350" spans="1:5" ht="12.75">
      <c r="A350" s="21"/>
      <c r="B350" s="27">
        <v>6050</v>
      </c>
      <c r="C350" s="18" t="s">
        <v>26</v>
      </c>
      <c r="D350" s="22"/>
      <c r="E350" s="15"/>
    </row>
    <row r="351" spans="1:5" ht="12.75">
      <c r="A351" s="21"/>
      <c r="B351" s="27"/>
      <c r="C351" s="18"/>
      <c r="D351" s="22"/>
      <c r="E351" s="15"/>
    </row>
    <row r="352" spans="1:5" ht="12.75">
      <c r="A352" s="31">
        <v>90017</v>
      </c>
      <c r="B352" s="26"/>
      <c r="C352" s="19" t="s">
        <v>101</v>
      </c>
      <c r="D352" s="20">
        <f>SUM(D353:D353)</f>
        <v>0</v>
      </c>
      <c r="E352" s="15"/>
    </row>
    <row r="353" spans="1:5" ht="33.75">
      <c r="A353" s="51"/>
      <c r="B353" s="27">
        <v>6210</v>
      </c>
      <c r="C353" s="44" t="s">
        <v>102</v>
      </c>
      <c r="D353" s="22">
        <v>0</v>
      </c>
      <c r="E353" s="76"/>
    </row>
    <row r="354" spans="1:5" ht="12.75">
      <c r="A354" s="31">
        <v>90095</v>
      </c>
      <c r="B354" s="26"/>
      <c r="C354" s="19" t="s">
        <v>13</v>
      </c>
      <c r="D354" s="20">
        <f>SUM(D355:D359)</f>
        <v>0</v>
      </c>
      <c r="E354" s="15"/>
    </row>
    <row r="355" spans="1:5" ht="45">
      <c r="A355" s="51"/>
      <c r="B355" s="27">
        <v>2900</v>
      </c>
      <c r="C355" s="44" t="s">
        <v>103</v>
      </c>
      <c r="D355" s="22">
        <v>0</v>
      </c>
      <c r="E355" s="76"/>
    </row>
    <row r="356" spans="1:5" ht="12.75">
      <c r="A356" s="21"/>
      <c r="B356" s="27">
        <v>4210</v>
      </c>
      <c r="C356" s="18" t="s">
        <v>14</v>
      </c>
      <c r="D356" s="22">
        <v>0</v>
      </c>
      <c r="E356" s="15"/>
    </row>
    <row r="357" spans="1:5" ht="12.75">
      <c r="A357" s="21"/>
      <c r="B357" s="27">
        <v>4260</v>
      </c>
      <c r="C357" s="18" t="s">
        <v>43</v>
      </c>
      <c r="D357" s="22">
        <v>0</v>
      </c>
      <c r="E357" s="15"/>
    </row>
    <row r="358" spans="1:5" ht="12.75">
      <c r="A358" s="21"/>
      <c r="B358" s="27">
        <v>4300</v>
      </c>
      <c r="C358" s="18" t="s">
        <v>15</v>
      </c>
      <c r="D358" s="22">
        <v>0</v>
      </c>
      <c r="E358" s="15"/>
    </row>
    <row r="359" spans="1:5" ht="13.5" thickBot="1">
      <c r="A359" s="66"/>
      <c r="B359" s="56">
        <v>4430</v>
      </c>
      <c r="C359" s="57" t="s">
        <v>16</v>
      </c>
      <c r="D359" s="58">
        <v>0</v>
      </c>
      <c r="E359" s="15"/>
    </row>
    <row r="360" spans="1:5" ht="13.5" thickBot="1">
      <c r="A360" s="62">
        <v>921</v>
      </c>
      <c r="B360" s="63"/>
      <c r="C360" s="64" t="s">
        <v>104</v>
      </c>
      <c r="D360" s="65">
        <f>SUM(D361,D364,D368,D370)</f>
        <v>500000</v>
      </c>
      <c r="E360" s="15"/>
    </row>
    <row r="361" spans="1:5" ht="12.75">
      <c r="A361" s="59">
        <v>92109</v>
      </c>
      <c r="B361" s="60"/>
      <c r="C361" s="61" t="s">
        <v>105</v>
      </c>
      <c r="D361" s="28">
        <f>D362+D363</f>
        <v>300000</v>
      </c>
      <c r="E361" s="15"/>
    </row>
    <row r="362" spans="1:5" ht="25.5">
      <c r="A362" s="21"/>
      <c r="B362" s="27">
        <v>2480</v>
      </c>
      <c r="C362" s="18" t="s">
        <v>106</v>
      </c>
      <c r="D362" s="22">
        <v>300000</v>
      </c>
      <c r="E362" s="15"/>
    </row>
    <row r="363" spans="1:5" ht="12.75">
      <c r="A363" s="21"/>
      <c r="B363" s="27">
        <v>6050</v>
      </c>
      <c r="C363" s="18" t="s">
        <v>26</v>
      </c>
      <c r="D363" s="22">
        <v>0</v>
      </c>
      <c r="E363" s="76"/>
    </row>
    <row r="364" spans="1:5" ht="12.75">
      <c r="A364" s="31">
        <v>92116</v>
      </c>
      <c r="B364" s="26"/>
      <c r="C364" s="19" t="s">
        <v>107</v>
      </c>
      <c r="D364" s="20">
        <f>D365+D366+D367</f>
        <v>200000</v>
      </c>
      <c r="E364" s="15"/>
    </row>
    <row r="365" spans="1:5" ht="25.5">
      <c r="A365" s="31"/>
      <c r="B365" s="27">
        <v>2480</v>
      </c>
      <c r="C365" s="18" t="s">
        <v>106</v>
      </c>
      <c r="D365" s="22">
        <v>200000</v>
      </c>
      <c r="E365" s="15"/>
    </row>
    <row r="366" spans="1:5" ht="12.75">
      <c r="A366" s="31"/>
      <c r="B366" s="27">
        <v>6058</v>
      </c>
      <c r="C366" s="18" t="s">
        <v>26</v>
      </c>
      <c r="D366" s="22">
        <v>0</v>
      </c>
      <c r="E366" s="15"/>
    </row>
    <row r="367" spans="1:5" ht="12.75">
      <c r="A367" s="31"/>
      <c r="B367" s="27">
        <v>6059</v>
      </c>
      <c r="C367" s="18" t="s">
        <v>26</v>
      </c>
      <c r="D367" s="22">
        <v>0</v>
      </c>
      <c r="E367" s="15"/>
    </row>
    <row r="368" spans="1:5" ht="12.75">
      <c r="A368" s="31">
        <v>92120</v>
      </c>
      <c r="B368" s="26"/>
      <c r="C368" s="26" t="s">
        <v>132</v>
      </c>
      <c r="D368" s="20">
        <f>D369</f>
        <v>0</v>
      </c>
      <c r="E368" s="15"/>
    </row>
    <row r="369" spans="1:5" ht="38.25">
      <c r="A369" s="31"/>
      <c r="B369" s="27">
        <v>4349</v>
      </c>
      <c r="C369" s="18" t="s">
        <v>139</v>
      </c>
      <c r="D369" s="22">
        <v>0</v>
      </c>
      <c r="E369" s="15"/>
    </row>
    <row r="370" spans="1:5" ht="12.75">
      <c r="A370" s="31">
        <v>92195</v>
      </c>
      <c r="B370" s="26"/>
      <c r="C370" s="26" t="s">
        <v>13</v>
      </c>
      <c r="D370" s="20">
        <f>SUM(D371:D376)</f>
        <v>0</v>
      </c>
      <c r="E370" s="15"/>
    </row>
    <row r="371" spans="1:5" ht="12.75">
      <c r="A371" s="21"/>
      <c r="B371" s="27">
        <v>4210</v>
      </c>
      <c r="C371" s="27" t="s">
        <v>14</v>
      </c>
      <c r="D371" s="22"/>
      <c r="E371" s="15"/>
    </row>
    <row r="372" spans="1:5" ht="12.75">
      <c r="A372" s="21"/>
      <c r="B372" s="27">
        <v>4260</v>
      </c>
      <c r="C372" s="18" t="s">
        <v>43</v>
      </c>
      <c r="D372" s="22"/>
      <c r="E372" s="15"/>
    </row>
    <row r="373" spans="1:5" ht="12.75">
      <c r="A373" s="21"/>
      <c r="B373" s="27">
        <v>4270</v>
      </c>
      <c r="C373" s="18" t="s">
        <v>24</v>
      </c>
      <c r="D373" s="22"/>
      <c r="E373" s="15"/>
    </row>
    <row r="374" spans="1:5" ht="12.75">
      <c r="A374" s="21"/>
      <c r="B374" s="27">
        <v>4300</v>
      </c>
      <c r="C374" s="27" t="s">
        <v>15</v>
      </c>
      <c r="D374" s="22"/>
      <c r="E374" s="15"/>
    </row>
    <row r="375" spans="1:5" ht="12.75">
      <c r="A375" s="21"/>
      <c r="B375" s="27">
        <v>6058</v>
      </c>
      <c r="C375" s="18" t="s">
        <v>26</v>
      </c>
      <c r="D375" s="22"/>
      <c r="E375" s="15"/>
    </row>
    <row r="376" spans="1:5" ht="13.5" thickBot="1">
      <c r="A376" s="66"/>
      <c r="B376" s="56">
        <v>6059</v>
      </c>
      <c r="C376" s="57" t="s">
        <v>26</v>
      </c>
      <c r="D376" s="58"/>
      <c r="E376" s="76"/>
    </row>
    <row r="377" spans="1:5" ht="13.5" thickBot="1">
      <c r="A377" s="62">
        <v>926</v>
      </c>
      <c r="B377" s="63"/>
      <c r="C377" s="64" t="s">
        <v>108</v>
      </c>
      <c r="D377" s="65">
        <f>SUM(D378,D382)</f>
        <v>80000</v>
      </c>
      <c r="E377" s="15"/>
    </row>
    <row r="378" spans="1:5" ht="12.75">
      <c r="A378" s="59">
        <v>92601</v>
      </c>
      <c r="B378" s="60"/>
      <c r="C378" s="61" t="s">
        <v>109</v>
      </c>
      <c r="D378" s="28">
        <f>SUM(D379:D381)</f>
        <v>0</v>
      </c>
      <c r="E378" s="15"/>
    </row>
    <row r="379" spans="1:5" ht="12.75">
      <c r="A379" s="31"/>
      <c r="B379" s="27">
        <v>6050</v>
      </c>
      <c r="C379" s="18" t="s">
        <v>26</v>
      </c>
      <c r="D379" s="22">
        <v>0</v>
      </c>
      <c r="E379" s="15"/>
    </row>
    <row r="380" spans="1:5" ht="12.75">
      <c r="A380" s="31"/>
      <c r="B380" s="27">
        <v>6058</v>
      </c>
      <c r="C380" s="18" t="s">
        <v>26</v>
      </c>
      <c r="D380" s="79">
        <v>0</v>
      </c>
      <c r="E380" s="15"/>
    </row>
    <row r="381" spans="1:5" ht="12.75">
      <c r="A381" s="21"/>
      <c r="B381" s="27">
        <v>6059</v>
      </c>
      <c r="C381" s="18" t="s">
        <v>26</v>
      </c>
      <c r="D381" s="79">
        <v>0</v>
      </c>
      <c r="E381" s="15"/>
    </row>
    <row r="382" spans="1:5" ht="25.5">
      <c r="A382" s="31">
        <v>92605</v>
      </c>
      <c r="B382" s="26"/>
      <c r="C382" s="19" t="s">
        <v>110</v>
      </c>
      <c r="D382" s="20">
        <f>SUM(D383:D391)</f>
        <v>80000</v>
      </c>
      <c r="E382" s="15"/>
    </row>
    <row r="383" spans="1:5" ht="25.5">
      <c r="A383" s="31"/>
      <c r="B383" s="27">
        <v>2820</v>
      </c>
      <c r="C383" s="18" t="s">
        <v>111</v>
      </c>
      <c r="D383" s="22">
        <v>80000</v>
      </c>
      <c r="E383" s="15"/>
    </row>
    <row r="384" spans="1:5" ht="12.75">
      <c r="A384" s="21"/>
      <c r="B384" s="27">
        <v>4110</v>
      </c>
      <c r="C384" s="18" t="s">
        <v>39</v>
      </c>
      <c r="D384" s="22"/>
      <c r="E384" s="15"/>
    </row>
    <row r="385" spans="1:5" ht="12.75">
      <c r="A385" s="21"/>
      <c r="B385" s="27">
        <v>4120</v>
      </c>
      <c r="C385" s="18" t="s">
        <v>40</v>
      </c>
      <c r="D385" s="22"/>
      <c r="E385" s="15"/>
    </row>
    <row r="386" spans="1:5" ht="12.75">
      <c r="A386" s="21"/>
      <c r="B386" s="27">
        <v>4170</v>
      </c>
      <c r="C386" s="18" t="s">
        <v>42</v>
      </c>
      <c r="D386" s="22"/>
      <c r="E386" s="15"/>
    </row>
    <row r="387" spans="1:5" ht="12.75">
      <c r="A387" s="21"/>
      <c r="B387" s="27">
        <v>4210</v>
      </c>
      <c r="C387" s="18" t="s">
        <v>14</v>
      </c>
      <c r="D387" s="22"/>
      <c r="E387" s="15"/>
    </row>
    <row r="388" spans="1:5" ht="12.75">
      <c r="A388" s="21"/>
      <c r="B388" s="27">
        <v>4260</v>
      </c>
      <c r="C388" s="18" t="s">
        <v>43</v>
      </c>
      <c r="D388" s="22"/>
      <c r="E388" s="15"/>
    </row>
    <row r="389" spans="1:5" ht="12.75">
      <c r="A389" s="21"/>
      <c r="B389" s="27">
        <v>4270</v>
      </c>
      <c r="C389" s="18" t="s">
        <v>24</v>
      </c>
      <c r="D389" s="22"/>
      <c r="E389" s="15"/>
    </row>
    <row r="390" spans="1:5" ht="12.75">
      <c r="A390" s="21"/>
      <c r="B390" s="27">
        <v>4300</v>
      </c>
      <c r="C390" s="18" t="s">
        <v>15</v>
      </c>
      <c r="D390" s="22"/>
      <c r="E390" s="15"/>
    </row>
    <row r="391" spans="1:5" ht="26.25" thickBot="1">
      <c r="A391" s="66"/>
      <c r="B391" s="56">
        <v>4370</v>
      </c>
      <c r="C391" s="57" t="s">
        <v>47</v>
      </c>
      <c r="D391" s="58"/>
      <c r="E391" s="15"/>
    </row>
    <row r="392" spans="1:5" ht="13.5" thickBot="1">
      <c r="A392" s="68"/>
      <c r="B392" s="69"/>
      <c r="C392" s="70" t="s">
        <v>112</v>
      </c>
      <c r="D392" s="71">
        <f>SUM(D393,D400,D405)</f>
        <v>0</v>
      </c>
      <c r="E392" s="15"/>
    </row>
    <row r="393" spans="1:5" ht="13.5" thickBot="1">
      <c r="A393" s="62">
        <v>750</v>
      </c>
      <c r="B393" s="63"/>
      <c r="C393" s="64" t="s">
        <v>32</v>
      </c>
      <c r="D393" s="65">
        <f>SUM(D394)</f>
        <v>0</v>
      </c>
      <c r="E393" s="15"/>
    </row>
    <row r="394" spans="1:5" ht="12.75">
      <c r="A394" s="59">
        <v>75011</v>
      </c>
      <c r="B394" s="60"/>
      <c r="C394" s="61" t="s">
        <v>113</v>
      </c>
      <c r="D394" s="28">
        <f>SUM(D395:D399)</f>
        <v>0</v>
      </c>
      <c r="E394" s="15"/>
    </row>
    <row r="395" spans="1:5" ht="12.75">
      <c r="A395" s="21"/>
      <c r="B395" s="27">
        <v>4010</v>
      </c>
      <c r="C395" s="18" t="s">
        <v>37</v>
      </c>
      <c r="D395" s="22"/>
      <c r="E395" s="15"/>
    </row>
    <row r="396" spans="1:5" ht="12.75">
      <c r="A396" s="21"/>
      <c r="B396" s="27">
        <v>4040</v>
      </c>
      <c r="C396" s="18" t="s">
        <v>38</v>
      </c>
      <c r="D396" s="22"/>
      <c r="E396" s="15"/>
    </row>
    <row r="397" spans="1:5" ht="12.75">
      <c r="A397" s="21"/>
      <c r="B397" s="27">
        <v>4110</v>
      </c>
      <c r="C397" s="18" t="s">
        <v>39</v>
      </c>
      <c r="D397" s="22"/>
      <c r="E397" s="15"/>
    </row>
    <row r="398" spans="1:5" ht="12.75">
      <c r="A398" s="21"/>
      <c r="B398" s="27">
        <v>4120</v>
      </c>
      <c r="C398" s="18" t="s">
        <v>40</v>
      </c>
      <c r="D398" s="22"/>
      <c r="E398" s="15"/>
    </row>
    <row r="399" spans="1:5" ht="26.25" thickBot="1">
      <c r="A399" s="66"/>
      <c r="B399" s="56">
        <v>4440</v>
      </c>
      <c r="C399" s="57" t="s">
        <v>50</v>
      </c>
      <c r="D399" s="58"/>
      <c r="E399" s="15"/>
    </row>
    <row r="400" spans="1:5" ht="39" thickBot="1">
      <c r="A400" s="62">
        <v>751</v>
      </c>
      <c r="B400" s="63"/>
      <c r="C400" s="64" t="s">
        <v>114</v>
      </c>
      <c r="D400" s="65">
        <f>SUM(D401)</f>
        <v>0</v>
      </c>
      <c r="E400" s="15"/>
    </row>
    <row r="401" spans="1:5" ht="25.5">
      <c r="A401" s="59">
        <v>75101</v>
      </c>
      <c r="B401" s="60"/>
      <c r="C401" s="61" t="s">
        <v>115</v>
      </c>
      <c r="D401" s="28">
        <f>SUM(D402:D404)</f>
        <v>0</v>
      </c>
      <c r="E401" s="15"/>
    </row>
    <row r="402" spans="1:5" ht="12.75">
      <c r="A402" s="31"/>
      <c r="B402" s="27">
        <v>4010</v>
      </c>
      <c r="C402" s="27" t="s">
        <v>37</v>
      </c>
      <c r="D402" s="22"/>
      <c r="E402" s="15"/>
    </row>
    <row r="403" spans="1:5" ht="12.75">
      <c r="A403" s="21"/>
      <c r="B403" s="27">
        <v>4110</v>
      </c>
      <c r="C403" s="18" t="s">
        <v>39</v>
      </c>
      <c r="D403" s="22"/>
      <c r="E403" s="15"/>
    </row>
    <row r="404" spans="1:5" ht="13.5" thickBot="1">
      <c r="A404" s="66"/>
      <c r="B404" s="56">
        <v>4120</v>
      </c>
      <c r="C404" s="57" t="s">
        <v>40</v>
      </c>
      <c r="D404" s="58"/>
      <c r="E404" s="15"/>
    </row>
    <row r="405" spans="1:5" ht="13.5" thickBot="1">
      <c r="A405" s="62">
        <v>852</v>
      </c>
      <c r="B405" s="63"/>
      <c r="C405" s="64" t="s">
        <v>88</v>
      </c>
      <c r="D405" s="65">
        <f>SUM(D406,D416,D418)</f>
        <v>0</v>
      </c>
      <c r="E405" s="15"/>
    </row>
    <row r="406" spans="1:5" ht="38.25">
      <c r="A406" s="59">
        <v>85212</v>
      </c>
      <c r="B406" s="60"/>
      <c r="C406" s="61" t="s">
        <v>116</v>
      </c>
      <c r="D406" s="72">
        <f>SUM(D407:D415)</f>
        <v>0</v>
      </c>
      <c r="E406" s="15"/>
    </row>
    <row r="407" spans="1:5" ht="12.75">
      <c r="A407" s="21"/>
      <c r="B407" s="27">
        <v>3110</v>
      </c>
      <c r="C407" s="18" t="s">
        <v>91</v>
      </c>
      <c r="D407" s="22"/>
      <c r="E407" s="15"/>
    </row>
    <row r="408" spans="1:5" ht="12.75">
      <c r="A408" s="21"/>
      <c r="B408" s="27">
        <v>4010</v>
      </c>
      <c r="C408" s="18" t="s">
        <v>37</v>
      </c>
      <c r="D408" s="22"/>
      <c r="E408" s="15"/>
    </row>
    <row r="409" spans="1:5" ht="12.75">
      <c r="A409" s="21"/>
      <c r="B409" s="27">
        <v>4040</v>
      </c>
      <c r="C409" s="18" t="s">
        <v>38</v>
      </c>
      <c r="D409" s="22"/>
      <c r="E409" s="15"/>
    </row>
    <row r="410" spans="1:5" ht="12.75">
      <c r="A410" s="21"/>
      <c r="B410" s="27">
        <v>4110</v>
      </c>
      <c r="C410" s="18" t="s">
        <v>39</v>
      </c>
      <c r="D410" s="22"/>
      <c r="E410" s="15"/>
    </row>
    <row r="411" spans="1:5" ht="12.75">
      <c r="A411" s="21"/>
      <c r="B411" s="27">
        <v>4120</v>
      </c>
      <c r="C411" s="18" t="s">
        <v>40</v>
      </c>
      <c r="D411" s="22"/>
      <c r="E411" s="15"/>
    </row>
    <row r="412" spans="1:5" ht="12.75">
      <c r="A412" s="21"/>
      <c r="B412" s="27">
        <v>4210</v>
      </c>
      <c r="C412" s="18" t="s">
        <v>14</v>
      </c>
      <c r="D412" s="22"/>
      <c r="E412" s="15"/>
    </row>
    <row r="413" spans="1:5" ht="12.75">
      <c r="A413" s="21"/>
      <c r="B413" s="27">
        <v>4300</v>
      </c>
      <c r="C413" s="18" t="s">
        <v>15</v>
      </c>
      <c r="D413" s="22"/>
      <c r="E413" s="15"/>
    </row>
    <row r="414" spans="1:5" ht="12.75">
      <c r="A414" s="21"/>
      <c r="B414" s="27">
        <v>4410</v>
      </c>
      <c r="C414" s="18" t="s">
        <v>48</v>
      </c>
      <c r="D414" s="22"/>
      <c r="E414" s="15"/>
    </row>
    <row r="415" spans="1:5" ht="25.5">
      <c r="A415" s="21"/>
      <c r="B415" s="27">
        <v>4440</v>
      </c>
      <c r="C415" s="18" t="s">
        <v>50</v>
      </c>
      <c r="D415" s="22"/>
      <c r="E415" s="15"/>
    </row>
    <row r="416" spans="1:5" ht="51">
      <c r="A416" s="31">
        <v>85213</v>
      </c>
      <c r="B416" s="26"/>
      <c r="C416" s="19" t="s">
        <v>117</v>
      </c>
      <c r="D416" s="20">
        <f>SUM(D417)</f>
        <v>0</v>
      </c>
      <c r="E416" s="15"/>
    </row>
    <row r="417" spans="1:5" ht="12.75">
      <c r="A417" s="21"/>
      <c r="B417" s="27">
        <v>4130</v>
      </c>
      <c r="C417" s="18" t="s">
        <v>118</v>
      </c>
      <c r="D417" s="22">
        <v>0</v>
      </c>
      <c r="E417" s="15"/>
    </row>
    <row r="418" spans="1:5" ht="25.5">
      <c r="A418" s="31">
        <v>85214</v>
      </c>
      <c r="B418" s="26"/>
      <c r="C418" s="19" t="s">
        <v>119</v>
      </c>
      <c r="D418" s="20">
        <f>SUM(D419:D419)</f>
        <v>0</v>
      </c>
      <c r="E418" s="15"/>
    </row>
    <row r="419" spans="1:5" ht="13.5" thickBot="1">
      <c r="A419" s="53"/>
      <c r="B419" s="54">
        <v>3110</v>
      </c>
      <c r="C419" s="23" t="s">
        <v>91</v>
      </c>
      <c r="D419" s="24">
        <v>0</v>
      </c>
      <c r="E419" s="15"/>
    </row>
    <row r="420" spans="1:5" ht="13.5" thickBot="1">
      <c r="A420" s="291" t="s">
        <v>120</v>
      </c>
      <c r="B420" s="292"/>
      <c r="C420" s="293"/>
      <c r="D420" s="73">
        <f>SUM(D392,D8)</f>
        <v>852013</v>
      </c>
      <c r="E420" s="15"/>
    </row>
    <row r="421" spans="1:4" ht="12.75">
      <c r="A421" s="1"/>
      <c r="B421" s="2"/>
      <c r="C421" s="3"/>
      <c r="D421" s="3"/>
    </row>
    <row r="422" spans="1:4" ht="12.75">
      <c r="A422" s="1"/>
      <c r="B422" s="2"/>
      <c r="C422" s="3"/>
      <c r="D422" s="3"/>
    </row>
    <row r="423" spans="1:4" ht="12.75">
      <c r="A423" s="1"/>
      <c r="B423" s="2"/>
      <c r="C423" s="14" t="s">
        <v>128</v>
      </c>
      <c r="D423" s="29"/>
    </row>
    <row r="424" spans="1:4" ht="12.75">
      <c r="A424" s="1"/>
      <c r="B424" s="2"/>
      <c r="C424" s="14" t="s">
        <v>129</v>
      </c>
      <c r="D424" s="4"/>
    </row>
    <row r="425" spans="1:4" ht="12.75">
      <c r="A425" s="1"/>
      <c r="B425" s="2"/>
      <c r="C425" s="14"/>
      <c r="D425" s="4"/>
    </row>
    <row r="426" spans="1:4" ht="12.75">
      <c r="A426" s="1"/>
      <c r="B426" s="2"/>
      <c r="C426" s="14" t="s">
        <v>130</v>
      </c>
      <c r="D426" s="4"/>
    </row>
    <row r="427" spans="1:3" ht="12.75">
      <c r="A427" s="1"/>
      <c r="B427" s="2"/>
      <c r="C427" s="14" t="s">
        <v>131</v>
      </c>
    </row>
  </sheetData>
  <sheetProtection/>
  <autoFilter ref="A6:E350"/>
  <mergeCells count="2">
    <mergeCell ref="C1:D1"/>
    <mergeCell ref="A420:C4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2010-01-18T10:39:26Z</cp:lastPrinted>
  <dcterms:created xsi:type="dcterms:W3CDTF">2008-10-31T08:23:04Z</dcterms:created>
  <dcterms:modified xsi:type="dcterms:W3CDTF">2010-05-12T10:13:16Z</dcterms:modified>
  <cp:category/>
  <cp:version/>
  <cp:contentType/>
  <cp:contentStatus/>
</cp:coreProperties>
</file>